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3455" windowHeight="10080" activeTab="1"/>
  </bookViews>
  <sheets>
    <sheet name="целев показ" sheetId="11" r:id="rId1"/>
    <sheet name="осн мерп" sheetId="12" r:id="rId2"/>
    <sheet name="прил 3 меры (2)" sheetId="15" r:id="rId3"/>
    <sheet name="прил 4 гос. задание" sheetId="14" r:id="rId4"/>
    <sheet name="ресурсн обеспечен  (2)" sheetId="10" r:id="rId5"/>
    <sheet name="оценка ресурс обесп (копейки)" sheetId="16" r:id="rId6"/>
    <sheet name="оценка ресурс обесп" sheetId="6" r:id="rId7"/>
  </sheets>
  <externalReferences>
    <externalReference r:id="rId8"/>
    <externalReference r:id="rId9"/>
    <externalReference r:id="rId10"/>
    <externalReference r:id="rId11"/>
    <externalReference r:id="rId12"/>
    <externalReference r:id="rId13"/>
    <externalReference r:id="rId14"/>
  </externalReferences>
  <definedNames>
    <definedName name="_xlnm._FilterDatabase" localSheetId="1" hidden="1">'осн мерп'!$A$14:$J$14</definedName>
    <definedName name="_xlnm._FilterDatabase" localSheetId="3" hidden="1">'прил 4 гос. задание'!$A$17:$AJ$58</definedName>
    <definedName name="_xlnm._FilterDatabase" localSheetId="4" hidden="1">'ресурсн обеспечен  (2)'!$A$16:$T$16</definedName>
    <definedName name="_xlnm.Print_Titles" localSheetId="1">'осн мерп'!$13:$14</definedName>
    <definedName name="_xlnm.Print_Titles" localSheetId="6">'оценка ресурс обесп'!$13:$14</definedName>
    <definedName name="_xlnm.Print_Titles" localSheetId="5">'оценка ресурс обесп (копейки)'!$13:$14</definedName>
    <definedName name="_xlnm.Print_Titles" localSheetId="2">'прил 3 меры (2)'!$17:$19</definedName>
    <definedName name="_xlnm.Print_Titles" localSheetId="3">'прил 4 гос. задание'!$16:$17</definedName>
    <definedName name="_xlnm.Print_Titles" localSheetId="4">'ресурсн обеспечен  (2)'!$15:$16</definedName>
    <definedName name="_xlnm.Print_Titles" localSheetId="0">'целев показ'!$14:$16</definedName>
    <definedName name="_xlnm.Print_Area" localSheetId="1">'осн мерп'!$A$1:$I$165</definedName>
    <definedName name="_xlnm.Print_Area" localSheetId="6">'оценка ресурс обесп'!$A$13:$P$62</definedName>
    <definedName name="_xlnm.Print_Area" localSheetId="5">'оценка ресурс обесп (копейки)'!$A$1:$N$62</definedName>
    <definedName name="_xlnm.Print_Area" localSheetId="2">'прил 3 меры (2)'!$A$1:$Q$48</definedName>
    <definedName name="_xlnm.Print_Area" localSheetId="3">'прил 4 гос. задание'!$A$4:$X$59</definedName>
    <definedName name="_xlnm.Print_Area" localSheetId="4">'ресурсн обеспечен  (2)'!$A$4:$U$250</definedName>
    <definedName name="_xlnm.Print_Area" localSheetId="0">'целев показ'!$A$4:$R$60</definedName>
  </definedNames>
  <calcPr calcId="125725"/>
</workbook>
</file>

<file path=xl/calcChain.xml><?xml version="1.0" encoding="utf-8"?>
<calcChain xmlns="http://schemas.openxmlformats.org/spreadsheetml/2006/main">
  <c r="AB29" i="14"/>
  <c r="AB30"/>
  <c r="AB31"/>
  <c r="AB32"/>
  <c r="AB33"/>
  <c r="AB28"/>
  <c r="AC28"/>
  <c r="AB24"/>
  <c r="AB27"/>
  <c r="AB26"/>
  <c r="AB25"/>
  <c r="V21"/>
  <c r="W21"/>
  <c r="X21"/>
  <c r="Y21"/>
  <c r="Z21"/>
  <c r="AA21"/>
  <c r="U21"/>
  <c r="L33"/>
  <c r="M33"/>
  <c r="N33"/>
  <c r="O33"/>
  <c r="P33"/>
  <c r="Q33"/>
  <c r="L23"/>
  <c r="M23"/>
  <c r="N23"/>
  <c r="O23"/>
  <c r="P23"/>
  <c r="Q23"/>
  <c r="K23"/>
  <c r="K33"/>
  <c r="P27" i="6" l="1"/>
  <c r="E16" i="16"/>
  <c r="F16"/>
  <c r="G16"/>
  <c r="H16"/>
  <c r="I16"/>
  <c r="J16"/>
  <c r="K16"/>
  <c r="L16"/>
  <c r="M16"/>
  <c r="N16"/>
  <c r="E17"/>
  <c r="F17"/>
  <c r="G17"/>
  <c r="H17"/>
  <c r="I17"/>
  <c r="J17"/>
  <c r="K17"/>
  <c r="L17"/>
  <c r="M17"/>
  <c r="N17"/>
  <c r="E18"/>
  <c r="F18"/>
  <c r="G18"/>
  <c r="H18"/>
  <c r="I18"/>
  <c r="J18"/>
  <c r="K18"/>
  <c r="L18"/>
  <c r="M18"/>
  <c r="N18"/>
  <c r="E19"/>
  <c r="F19"/>
  <c r="G19"/>
  <c r="H19"/>
  <c r="I19"/>
  <c r="J19"/>
  <c r="K19"/>
  <c r="L19"/>
  <c r="M19"/>
  <c r="N19"/>
  <c r="E20"/>
  <c r="F20"/>
  <c r="G20"/>
  <c r="H20"/>
  <c r="I20"/>
  <c r="J20"/>
  <c r="K20"/>
  <c r="L20"/>
  <c r="M20"/>
  <c r="N20"/>
  <c r="E21"/>
  <c r="F21"/>
  <c r="G21"/>
  <c r="H21"/>
  <c r="I21"/>
  <c r="J21"/>
  <c r="K21"/>
  <c r="L21"/>
  <c r="M21"/>
  <c r="N21"/>
  <c r="E22"/>
  <c r="F22"/>
  <c r="G22"/>
  <c r="H22"/>
  <c r="I22"/>
  <c r="J22"/>
  <c r="K22"/>
  <c r="L22"/>
  <c r="M22"/>
  <c r="N22"/>
  <c r="E23"/>
  <c r="F23"/>
  <c r="G23"/>
  <c r="H23"/>
  <c r="I23"/>
  <c r="J23"/>
  <c r="K23"/>
  <c r="L23"/>
  <c r="M23"/>
  <c r="N23"/>
  <c r="F15"/>
  <c r="G15"/>
  <c r="H15"/>
  <c r="I15"/>
  <c r="J15"/>
  <c r="K15"/>
  <c r="L15"/>
  <c r="M15"/>
  <c r="N15"/>
  <c r="P56"/>
  <c r="P58"/>
  <c r="P51"/>
  <c r="P53"/>
  <c r="P55"/>
  <c r="P57"/>
  <c r="P59"/>
  <c r="P50" l="1"/>
  <c r="P48"/>
  <c r="P47"/>
  <c r="P46"/>
  <c r="P45"/>
  <c r="P44"/>
  <c r="P43"/>
  <c r="P42"/>
  <c r="P54"/>
  <c r="P52"/>
  <c r="P34" l="1"/>
  <c r="P40"/>
  <c r="P33"/>
  <c r="P35"/>
  <c r="P36"/>
  <c r="P37"/>
  <c r="P38"/>
  <c r="P39"/>
  <c r="P41"/>
  <c r="P49"/>
  <c r="P21" l="1"/>
  <c r="P30"/>
  <c r="P17"/>
  <c r="P26"/>
  <c r="P23"/>
  <c r="P32"/>
  <c r="P20"/>
  <c r="P29"/>
  <c r="P19"/>
  <c r="P28"/>
  <c r="P18"/>
  <c r="P27"/>
  <c r="P24"/>
  <c r="E15"/>
  <c r="P15" s="1"/>
  <c r="P31"/>
  <c r="P22"/>
  <c r="P25"/>
  <c r="P16"/>
  <c r="P17" i="6" l="1"/>
  <c r="P18"/>
  <c r="P19"/>
  <c r="P20"/>
  <c r="P21"/>
  <c r="P22"/>
  <c r="P23"/>
  <c r="P24"/>
  <c r="P25"/>
  <c r="P26"/>
  <c r="P28"/>
  <c r="P29"/>
  <c r="P30"/>
  <c r="P31"/>
  <c r="P32"/>
  <c r="P35"/>
  <c r="P36"/>
  <c r="P37"/>
  <c r="P38"/>
  <c r="P39"/>
  <c r="P40"/>
  <c r="P41"/>
  <c r="P42"/>
  <c r="P43"/>
  <c r="P44"/>
  <c r="P45"/>
  <c r="P46"/>
  <c r="P47"/>
  <c r="P48"/>
  <c r="P49"/>
  <c r="P50"/>
  <c r="P51"/>
  <c r="P52"/>
  <c r="P53"/>
  <c r="P54"/>
  <c r="P55"/>
  <c r="P56"/>
  <c r="P57"/>
  <c r="P58"/>
  <c r="P59"/>
  <c r="N45" i="15"/>
  <c r="O45" s="1"/>
  <c r="P45" s="1"/>
  <c r="N35"/>
  <c r="O35"/>
  <c r="P35" s="1"/>
  <c r="N36"/>
  <c r="O36" s="1"/>
  <c r="P36" s="1"/>
  <c r="N37"/>
  <c r="O37" s="1"/>
  <c r="P37" s="1"/>
  <c r="N38"/>
  <c r="O38" s="1"/>
  <c r="P38" s="1"/>
  <c r="N39"/>
  <c r="O39"/>
  <c r="P39" s="1"/>
  <c r="N40"/>
  <c r="O40" s="1"/>
  <c r="P40" s="1"/>
  <c r="N41"/>
  <c r="O41" s="1"/>
  <c r="P41" s="1"/>
  <c r="N42"/>
  <c r="O42" s="1"/>
  <c r="P42" s="1"/>
  <c r="N43"/>
  <c r="O43"/>
  <c r="P43" s="1"/>
  <c r="N33"/>
  <c r="O33"/>
  <c r="P33" s="1"/>
  <c r="N34"/>
  <c r="O34" s="1"/>
  <c r="P34" s="1"/>
  <c r="N32"/>
  <c r="O32" s="1"/>
  <c r="P32" s="1"/>
  <c r="N22"/>
  <c r="O22"/>
  <c r="P22" s="1"/>
  <c r="N23"/>
  <c r="O23" s="1"/>
  <c r="P23" s="1"/>
  <c r="N24"/>
  <c r="O24" s="1"/>
  <c r="P24" s="1"/>
  <c r="N25"/>
  <c r="O25" s="1"/>
  <c r="P25" s="1"/>
  <c r="N26"/>
  <c r="O26"/>
  <c r="P26" s="1"/>
  <c r="N27"/>
  <c r="O27" s="1"/>
  <c r="P27" s="1"/>
  <c r="N28"/>
  <c r="O28" s="1"/>
  <c r="P28" s="1"/>
  <c r="N29"/>
  <c r="O29" s="1"/>
  <c r="P29" s="1"/>
  <c r="N30"/>
  <c r="O30"/>
  <c r="P30" s="1"/>
  <c r="O21"/>
  <c r="P21" s="1"/>
  <c r="N21"/>
  <c r="G45" l="1"/>
  <c r="G39"/>
  <c r="E39"/>
  <c r="G38"/>
  <c r="E38"/>
  <c r="G37"/>
  <c r="E37"/>
  <c r="I36"/>
  <c r="G36"/>
  <c r="E36"/>
  <c r="G34"/>
  <c r="G33"/>
  <c r="G32"/>
  <c r="E32"/>
  <c r="G30"/>
  <c r="G29"/>
  <c r="G28"/>
  <c r="G27"/>
  <c r="G26"/>
  <c r="G25"/>
  <c r="G24"/>
  <c r="G23"/>
  <c r="G22"/>
  <c r="G21"/>
  <c r="I19" i="6" l="1"/>
  <c r="M51" l="1"/>
  <c r="L52"/>
  <c r="L51" s="1"/>
  <c r="M52"/>
  <c r="N52"/>
  <c r="N51" s="1"/>
  <c r="M42"/>
  <c r="L43"/>
  <c r="L42" s="1"/>
  <c r="M43"/>
  <c r="N43"/>
  <c r="N42" s="1"/>
  <c r="N36"/>
  <c r="M36"/>
  <c r="M18" s="1"/>
  <c r="L36"/>
  <c r="L23"/>
  <c r="M23"/>
  <c r="N23"/>
  <c r="L17"/>
  <c r="M17"/>
  <c r="N17"/>
  <c r="L18"/>
  <c r="N18"/>
  <c r="N27"/>
  <c r="M27"/>
  <c r="L27"/>
  <c r="N26"/>
  <c r="M26"/>
  <c r="L26"/>
  <c r="L24"/>
  <c r="M24"/>
  <c r="N24"/>
  <c r="L25"/>
  <c r="M25"/>
  <c r="N25"/>
  <c r="K17"/>
  <c r="K23"/>
  <c r="K25"/>
  <c r="K27"/>
  <c r="K18" s="1"/>
  <c r="K42"/>
  <c r="K43"/>
  <c r="K51"/>
  <c r="K52"/>
  <c r="S19" i="10"/>
  <c r="T19" s="1"/>
  <c r="U19" s="1"/>
  <c r="S20"/>
  <c r="T20"/>
  <c r="U20" s="1"/>
  <c r="S21"/>
  <c r="T21" s="1"/>
  <c r="U21" s="1"/>
  <c r="S22"/>
  <c r="T22"/>
  <c r="U22" s="1"/>
  <c r="S23"/>
  <c r="T23" s="1"/>
  <c r="U23" s="1"/>
  <c r="S24"/>
  <c r="T24"/>
  <c r="U24" s="1"/>
  <c r="S25"/>
  <c r="T25" s="1"/>
  <c r="U25" s="1"/>
  <c r="S26"/>
  <c r="T26"/>
  <c r="U26" s="1"/>
  <c r="S27"/>
  <c r="T27" s="1"/>
  <c r="U27" s="1"/>
  <c r="S28"/>
  <c r="T28"/>
  <c r="U28" s="1"/>
  <c r="S29"/>
  <c r="T29" s="1"/>
  <c r="U29" s="1"/>
  <c r="S30"/>
  <c r="T30"/>
  <c r="U30" s="1"/>
  <c r="S31"/>
  <c r="T31" s="1"/>
  <c r="U31" s="1"/>
  <c r="S32"/>
  <c r="T32"/>
  <c r="U32" s="1"/>
  <c r="S33"/>
  <c r="T33" s="1"/>
  <c r="U33" s="1"/>
  <c r="S34"/>
  <c r="T34"/>
  <c r="U34" s="1"/>
  <c r="S35"/>
  <c r="T35" s="1"/>
  <c r="U35" s="1"/>
  <c r="S36"/>
  <c r="T36"/>
  <c r="U36" s="1"/>
  <c r="S37"/>
  <c r="T37" s="1"/>
  <c r="U37" s="1"/>
  <c r="S38"/>
  <c r="T38"/>
  <c r="U38" s="1"/>
  <c r="S39"/>
  <c r="T39" s="1"/>
  <c r="U39" s="1"/>
  <c r="S40"/>
  <c r="T40"/>
  <c r="U40" s="1"/>
  <c r="S41"/>
  <c r="T41" s="1"/>
  <c r="U41" s="1"/>
  <c r="S42"/>
  <c r="T42"/>
  <c r="U42" s="1"/>
  <c r="S43"/>
  <c r="T43" s="1"/>
  <c r="U43" s="1"/>
  <c r="S44"/>
  <c r="T44"/>
  <c r="U44" s="1"/>
  <c r="S45"/>
  <c r="T45" s="1"/>
  <c r="U45" s="1"/>
  <c r="S46"/>
  <c r="T46"/>
  <c r="U46" s="1"/>
  <c r="S47"/>
  <c r="T47" s="1"/>
  <c r="U47" s="1"/>
  <c r="S48"/>
  <c r="T48"/>
  <c r="U48" s="1"/>
  <c r="S49"/>
  <c r="T49" s="1"/>
  <c r="U49" s="1"/>
  <c r="S50"/>
  <c r="T50"/>
  <c r="U50" s="1"/>
  <c r="S51"/>
  <c r="T51" s="1"/>
  <c r="U51" s="1"/>
  <c r="S52"/>
  <c r="T52"/>
  <c r="U52" s="1"/>
  <c r="S53"/>
  <c r="T53" s="1"/>
  <c r="U53" s="1"/>
  <c r="S54"/>
  <c r="T54"/>
  <c r="U54" s="1"/>
  <c r="S55"/>
  <c r="T55" s="1"/>
  <c r="U55" s="1"/>
  <c r="S56"/>
  <c r="T56"/>
  <c r="U56" s="1"/>
  <c r="S57"/>
  <c r="T57" s="1"/>
  <c r="U57" s="1"/>
  <c r="S58"/>
  <c r="T58"/>
  <c r="U58" s="1"/>
  <c r="S59"/>
  <c r="T59" s="1"/>
  <c r="U59" s="1"/>
  <c r="S60"/>
  <c r="T60"/>
  <c r="U60" s="1"/>
  <c r="S61"/>
  <c r="T61" s="1"/>
  <c r="U61" s="1"/>
  <c r="S62"/>
  <c r="T62"/>
  <c r="U62" s="1"/>
  <c r="S63"/>
  <c r="T63" s="1"/>
  <c r="U63" s="1"/>
  <c r="S64"/>
  <c r="T64"/>
  <c r="U64" s="1"/>
  <c r="S65"/>
  <c r="T65" s="1"/>
  <c r="U65" s="1"/>
  <c r="S66"/>
  <c r="T66"/>
  <c r="U66" s="1"/>
  <c r="S67"/>
  <c r="T67" s="1"/>
  <c r="U67" s="1"/>
  <c r="S68"/>
  <c r="T68"/>
  <c r="U68" s="1"/>
  <c r="S69"/>
  <c r="T69" s="1"/>
  <c r="U69" s="1"/>
  <c r="S70"/>
  <c r="T70"/>
  <c r="U70" s="1"/>
  <c r="S71"/>
  <c r="T71" s="1"/>
  <c r="U71" s="1"/>
  <c r="S72"/>
  <c r="T72"/>
  <c r="U72" s="1"/>
  <c r="S73"/>
  <c r="T73" s="1"/>
  <c r="U73" s="1"/>
  <c r="S74"/>
  <c r="T74"/>
  <c r="U74" s="1"/>
  <c r="S75"/>
  <c r="T75" s="1"/>
  <c r="U75" s="1"/>
  <c r="S76"/>
  <c r="T76"/>
  <c r="U76" s="1"/>
  <c r="S77"/>
  <c r="T77" s="1"/>
  <c r="U77" s="1"/>
  <c r="S78"/>
  <c r="T78"/>
  <c r="U78" s="1"/>
  <c r="S81"/>
  <c r="T81" s="1"/>
  <c r="U81" s="1"/>
  <c r="S82"/>
  <c r="T82"/>
  <c r="U82" s="1"/>
  <c r="S83"/>
  <c r="T83" s="1"/>
  <c r="U83" s="1"/>
  <c r="S84"/>
  <c r="T84"/>
  <c r="U84" s="1"/>
  <c r="S85"/>
  <c r="T85" s="1"/>
  <c r="U85" s="1"/>
  <c r="S86"/>
  <c r="T86"/>
  <c r="U86" s="1"/>
  <c r="S87"/>
  <c r="T87" s="1"/>
  <c r="U87" s="1"/>
  <c r="S88"/>
  <c r="T88"/>
  <c r="U88" s="1"/>
  <c r="S89"/>
  <c r="T89" s="1"/>
  <c r="U89" s="1"/>
  <c r="S90"/>
  <c r="T90"/>
  <c r="U90" s="1"/>
  <c r="S91"/>
  <c r="T91" s="1"/>
  <c r="U91" s="1"/>
  <c r="S92"/>
  <c r="T92"/>
  <c r="U92" s="1"/>
  <c r="S93"/>
  <c r="T93" s="1"/>
  <c r="U93" s="1"/>
  <c r="S94"/>
  <c r="T94"/>
  <c r="U94" s="1"/>
  <c r="S95"/>
  <c r="T95" s="1"/>
  <c r="U95" s="1"/>
  <c r="S98"/>
  <c r="T98" s="1"/>
  <c r="U98" s="1"/>
  <c r="S99"/>
  <c r="T99" s="1"/>
  <c r="U99" s="1"/>
  <c r="S100"/>
  <c r="T100"/>
  <c r="U100" s="1"/>
  <c r="S101"/>
  <c r="T101" s="1"/>
  <c r="U101" s="1"/>
  <c r="S102"/>
  <c r="T102"/>
  <c r="U102" s="1"/>
  <c r="S103"/>
  <c r="T103" s="1"/>
  <c r="U103" s="1"/>
  <c r="S104"/>
  <c r="T104"/>
  <c r="U104" s="1"/>
  <c r="S105"/>
  <c r="T105" s="1"/>
  <c r="U105" s="1"/>
  <c r="S106"/>
  <c r="T106"/>
  <c r="U106" s="1"/>
  <c r="S107"/>
  <c r="T107" s="1"/>
  <c r="U107" s="1"/>
  <c r="S111"/>
  <c r="T111" s="1"/>
  <c r="U111" s="1"/>
  <c r="S112"/>
  <c r="T112"/>
  <c r="U112" s="1"/>
  <c r="S113"/>
  <c r="T113" s="1"/>
  <c r="U113" s="1"/>
  <c r="S114"/>
  <c r="T114"/>
  <c r="U114" s="1"/>
  <c r="S115"/>
  <c r="T115" s="1"/>
  <c r="U115" s="1"/>
  <c r="S116"/>
  <c r="T116"/>
  <c r="U116" s="1"/>
  <c r="S117"/>
  <c r="T117" s="1"/>
  <c r="U117" s="1"/>
  <c r="S118"/>
  <c r="T118"/>
  <c r="U118" s="1"/>
  <c r="S119"/>
  <c r="T119" s="1"/>
  <c r="U119" s="1"/>
  <c r="S120"/>
  <c r="T120"/>
  <c r="U120" s="1"/>
  <c r="S121"/>
  <c r="T121" s="1"/>
  <c r="U121" s="1"/>
  <c r="S122"/>
  <c r="T122"/>
  <c r="U122" s="1"/>
  <c r="S123"/>
  <c r="T123" s="1"/>
  <c r="U123" s="1"/>
  <c r="S124"/>
  <c r="T124"/>
  <c r="U124" s="1"/>
  <c r="S125"/>
  <c r="T125" s="1"/>
  <c r="U125" s="1"/>
  <c r="S126"/>
  <c r="T126"/>
  <c r="U126" s="1"/>
  <c r="S127"/>
  <c r="T127" s="1"/>
  <c r="U127" s="1"/>
  <c r="S128"/>
  <c r="T128"/>
  <c r="U128" s="1"/>
  <c r="S129"/>
  <c r="T129" s="1"/>
  <c r="U129" s="1"/>
  <c r="S130"/>
  <c r="T130"/>
  <c r="U130" s="1"/>
  <c r="S131"/>
  <c r="T131" s="1"/>
  <c r="U131" s="1"/>
  <c r="S132"/>
  <c r="T132"/>
  <c r="U132" s="1"/>
  <c r="S133"/>
  <c r="T133" s="1"/>
  <c r="U133" s="1"/>
  <c r="S134"/>
  <c r="T134"/>
  <c r="U134" s="1"/>
  <c r="S135"/>
  <c r="T135" s="1"/>
  <c r="U135" s="1"/>
  <c r="S136"/>
  <c r="T136"/>
  <c r="U136" s="1"/>
  <c r="S137"/>
  <c r="T137" s="1"/>
  <c r="U137" s="1"/>
  <c r="S138"/>
  <c r="T138"/>
  <c r="U138" s="1"/>
  <c r="S139"/>
  <c r="T139" s="1"/>
  <c r="U139" s="1"/>
  <c r="S140"/>
  <c r="T140"/>
  <c r="U140" s="1"/>
  <c r="S141"/>
  <c r="T141" s="1"/>
  <c r="U141" s="1"/>
  <c r="S142"/>
  <c r="T142"/>
  <c r="U142" s="1"/>
  <c r="S143"/>
  <c r="T143" s="1"/>
  <c r="U143" s="1"/>
  <c r="S144"/>
  <c r="T144"/>
  <c r="U144" s="1"/>
  <c r="S145"/>
  <c r="T145" s="1"/>
  <c r="U145" s="1"/>
  <c r="S146"/>
  <c r="T146"/>
  <c r="U146" s="1"/>
  <c r="S147"/>
  <c r="T147" s="1"/>
  <c r="U147" s="1"/>
  <c r="S148"/>
  <c r="T148"/>
  <c r="U148" s="1"/>
  <c r="S149"/>
  <c r="T149" s="1"/>
  <c r="U149" s="1"/>
  <c r="S150"/>
  <c r="T150"/>
  <c r="U150" s="1"/>
  <c r="S151"/>
  <c r="T151" s="1"/>
  <c r="U151" s="1"/>
  <c r="S152"/>
  <c r="T152"/>
  <c r="U152" s="1"/>
  <c r="S153"/>
  <c r="T153" s="1"/>
  <c r="U153" s="1"/>
  <c r="S154"/>
  <c r="T154"/>
  <c r="U154" s="1"/>
  <c r="S155"/>
  <c r="T155" s="1"/>
  <c r="U155" s="1"/>
  <c r="S156"/>
  <c r="T156"/>
  <c r="U156" s="1"/>
  <c r="S157"/>
  <c r="T157" s="1"/>
  <c r="U157" s="1"/>
  <c r="S158"/>
  <c r="T158"/>
  <c r="U158" s="1"/>
  <c r="S159"/>
  <c r="T159" s="1"/>
  <c r="U159" s="1"/>
  <c r="S160"/>
  <c r="T160"/>
  <c r="U160" s="1"/>
  <c r="S161"/>
  <c r="T161" s="1"/>
  <c r="U161" s="1"/>
  <c r="S162"/>
  <c r="T162"/>
  <c r="U162" s="1"/>
  <c r="S163"/>
  <c r="T163" s="1"/>
  <c r="U163" s="1"/>
  <c r="S164"/>
  <c r="T164"/>
  <c r="U164" s="1"/>
  <c r="S165"/>
  <c r="T165" s="1"/>
  <c r="U165" s="1"/>
  <c r="S166"/>
  <c r="T166"/>
  <c r="U166" s="1"/>
  <c r="S167"/>
  <c r="T167" s="1"/>
  <c r="U167" s="1"/>
  <c r="S168"/>
  <c r="T168"/>
  <c r="U168" s="1"/>
  <c r="S169"/>
  <c r="T169" s="1"/>
  <c r="U169" s="1"/>
  <c r="S170"/>
  <c r="T170"/>
  <c r="U170" s="1"/>
  <c r="S171"/>
  <c r="T171" s="1"/>
  <c r="U171" s="1"/>
  <c r="S172"/>
  <c r="T172"/>
  <c r="U172" s="1"/>
  <c r="S173"/>
  <c r="T173" s="1"/>
  <c r="U173" s="1"/>
  <c r="S174"/>
  <c r="T174"/>
  <c r="U174" s="1"/>
  <c r="S175"/>
  <c r="T175" s="1"/>
  <c r="U175" s="1"/>
  <c r="S176"/>
  <c r="T176"/>
  <c r="U176" s="1"/>
  <c r="S177"/>
  <c r="T177" s="1"/>
  <c r="U177" s="1"/>
  <c r="S178"/>
  <c r="T178"/>
  <c r="U178" s="1"/>
  <c r="S179"/>
  <c r="T179" s="1"/>
  <c r="U179" s="1"/>
  <c r="S180"/>
  <c r="T180"/>
  <c r="U180" s="1"/>
  <c r="S181"/>
  <c r="T181" s="1"/>
  <c r="U181" s="1"/>
  <c r="S182"/>
  <c r="T182"/>
  <c r="U182" s="1"/>
  <c r="S183"/>
  <c r="T183" s="1"/>
  <c r="U183" s="1"/>
  <c r="S184"/>
  <c r="T184"/>
  <c r="U184" s="1"/>
  <c r="S185"/>
  <c r="T185" s="1"/>
  <c r="U185" s="1"/>
  <c r="S186"/>
  <c r="T186"/>
  <c r="U186" s="1"/>
  <c r="S187"/>
  <c r="T187" s="1"/>
  <c r="U187" s="1"/>
  <c r="S188"/>
  <c r="T188"/>
  <c r="U188" s="1"/>
  <c r="S189"/>
  <c r="T189" s="1"/>
  <c r="U189" s="1"/>
  <c r="S190"/>
  <c r="T190"/>
  <c r="U190" s="1"/>
  <c r="S191"/>
  <c r="T191" s="1"/>
  <c r="U191" s="1"/>
  <c r="S192"/>
  <c r="T192"/>
  <c r="U192" s="1"/>
  <c r="S193"/>
  <c r="T193" s="1"/>
  <c r="U193" s="1"/>
  <c r="S194"/>
  <c r="T194"/>
  <c r="U194" s="1"/>
  <c r="S195"/>
  <c r="T195" s="1"/>
  <c r="U195" s="1"/>
  <c r="S196"/>
  <c r="T196"/>
  <c r="U196" s="1"/>
  <c r="S197"/>
  <c r="T197" s="1"/>
  <c r="U197" s="1"/>
  <c r="S198"/>
  <c r="T198"/>
  <c r="U198" s="1"/>
  <c r="S199"/>
  <c r="T199" s="1"/>
  <c r="U199" s="1"/>
  <c r="S200"/>
  <c r="T200"/>
  <c r="U200" s="1"/>
  <c r="S201"/>
  <c r="T201" s="1"/>
  <c r="U201" s="1"/>
  <c r="S202"/>
  <c r="T202"/>
  <c r="U202" s="1"/>
  <c r="S203"/>
  <c r="T203" s="1"/>
  <c r="U203" s="1"/>
  <c r="S204"/>
  <c r="T204"/>
  <c r="U204" s="1"/>
  <c r="S205"/>
  <c r="T205" s="1"/>
  <c r="U205" s="1"/>
  <c r="S206"/>
  <c r="T206"/>
  <c r="U206" s="1"/>
  <c r="S207"/>
  <c r="T207" s="1"/>
  <c r="U207" s="1"/>
  <c r="S208"/>
  <c r="T208"/>
  <c r="U208" s="1"/>
  <c r="S209"/>
  <c r="T209" s="1"/>
  <c r="U209" s="1"/>
  <c r="S210"/>
  <c r="T210"/>
  <c r="U210" s="1"/>
  <c r="S211"/>
  <c r="T211" s="1"/>
  <c r="U211" s="1"/>
  <c r="S212"/>
  <c r="T212"/>
  <c r="U212" s="1"/>
  <c r="S213"/>
  <c r="T213" s="1"/>
  <c r="U213" s="1"/>
  <c r="S214"/>
  <c r="T214"/>
  <c r="U214" s="1"/>
  <c r="S215"/>
  <c r="T215" s="1"/>
  <c r="U215" s="1"/>
  <c r="S216"/>
  <c r="T216"/>
  <c r="U216" s="1"/>
  <c r="S217"/>
  <c r="T217" s="1"/>
  <c r="U217" s="1"/>
  <c r="S218"/>
  <c r="T218"/>
  <c r="U218" s="1"/>
  <c r="S219"/>
  <c r="T219" s="1"/>
  <c r="U219" s="1"/>
  <c r="S220"/>
  <c r="T220"/>
  <c r="U220" s="1"/>
  <c r="S221"/>
  <c r="T221" s="1"/>
  <c r="U221" s="1"/>
  <c r="S222"/>
  <c r="T222"/>
  <c r="U222" s="1"/>
  <c r="S223"/>
  <c r="T223" s="1"/>
  <c r="U223" s="1"/>
  <c r="S224"/>
  <c r="T224"/>
  <c r="U224" s="1"/>
  <c r="S225"/>
  <c r="T225" s="1"/>
  <c r="U225" s="1"/>
  <c r="S226"/>
  <c r="T226"/>
  <c r="U226" s="1"/>
  <c r="S227"/>
  <c r="T227" s="1"/>
  <c r="U227" s="1"/>
  <c r="S228"/>
  <c r="T228"/>
  <c r="U228" s="1"/>
  <c r="S229"/>
  <c r="T229" s="1"/>
  <c r="U229" s="1"/>
  <c r="S230"/>
  <c r="T230"/>
  <c r="U230" s="1"/>
  <c r="S231"/>
  <c r="T231" s="1"/>
  <c r="U231" s="1"/>
  <c r="S232"/>
  <c r="T232"/>
  <c r="U232" s="1"/>
  <c r="S233"/>
  <c r="T233" s="1"/>
  <c r="U233" s="1"/>
  <c r="S234"/>
  <c r="T234"/>
  <c r="U234" s="1"/>
  <c r="S235"/>
  <c r="T235" s="1"/>
  <c r="U235" s="1"/>
  <c r="S236"/>
  <c r="T236"/>
  <c r="U236" s="1"/>
  <c r="S237"/>
  <c r="T237" s="1"/>
  <c r="U237" s="1"/>
  <c r="S238"/>
  <c r="T238"/>
  <c r="U238" s="1"/>
  <c r="S239"/>
  <c r="T239" s="1"/>
  <c r="U239" s="1"/>
  <c r="S240"/>
  <c r="T240"/>
  <c r="U240" s="1"/>
  <c r="S241"/>
  <c r="T241" s="1"/>
  <c r="U241" s="1"/>
  <c r="S242"/>
  <c r="T242"/>
  <c r="U242" s="1"/>
  <c r="P237"/>
  <c r="P235"/>
  <c r="P177"/>
  <c r="P145"/>
  <c r="P141"/>
  <c r="P98"/>
  <c r="R57" i="14"/>
  <c r="R56"/>
  <c r="R55"/>
  <c r="R53"/>
  <c r="R50"/>
  <c r="R49"/>
  <c r="R48"/>
  <c r="R47"/>
  <c r="R46"/>
  <c r="R45"/>
  <c r="R44"/>
  <c r="S43"/>
  <c r="S42"/>
  <c r="S41"/>
  <c r="S40"/>
  <c r="S39"/>
  <c r="S38"/>
  <c r="S37"/>
  <c r="S36"/>
  <c r="J33"/>
  <c r="J32"/>
  <c r="J31"/>
  <c r="S23"/>
  <c r="N19"/>
  <c r="N18" s="1"/>
  <c r="M19"/>
  <c r="M18" s="1"/>
  <c r="L19"/>
  <c r="L18" s="1"/>
  <c r="K19"/>
  <c r="K18" s="1"/>
  <c r="J19"/>
  <c r="J18" s="1"/>
  <c r="I19"/>
  <c r="I18" s="1"/>
  <c r="Q82" i="10"/>
  <c r="R82"/>
  <c r="P82"/>
  <c r="M20"/>
  <c r="N20"/>
  <c r="O20"/>
  <c r="P20"/>
  <c r="Q20"/>
  <c r="R20"/>
  <c r="L20"/>
  <c r="M103"/>
  <c r="N103"/>
  <c r="O103"/>
  <c r="P103"/>
  <c r="Q103"/>
  <c r="R103"/>
  <c r="L103"/>
  <c r="K24" i="6" l="1"/>
  <c r="Q81" i="10"/>
  <c r="R81"/>
  <c r="P81"/>
  <c r="J27" i="6"/>
  <c r="I36"/>
  <c r="I27"/>
  <c r="Q134" i="10" l="1"/>
  <c r="P134"/>
  <c r="P133" l="1"/>
  <c r="I43" i="6" s="1"/>
  <c r="I42" s="1"/>
  <c r="Q133" i="10"/>
  <c r="J43" i="6" s="1"/>
  <c r="J42" s="1"/>
  <c r="H44" l="1"/>
  <c r="O247" i="10"/>
  <c r="P247" s="1"/>
  <c r="Q247" s="1"/>
  <c r="L247"/>
  <c r="O246"/>
  <c r="P246" s="1"/>
  <c r="Q246" s="1"/>
  <c r="O245"/>
  <c r="P245" s="1"/>
  <c r="Q245" s="1"/>
  <c r="O244"/>
  <c r="P244" s="1"/>
  <c r="Q244" s="1"/>
  <c r="O243"/>
  <c r="P243" s="1"/>
  <c r="Q243" s="1"/>
  <c r="M243"/>
  <c r="L242"/>
  <c r="Q241"/>
  <c r="R241" s="1"/>
  <c r="M241"/>
  <c r="Q240"/>
  <c r="P238"/>
  <c r="Q238" s="1"/>
  <c r="R238" s="1"/>
  <c r="O238"/>
  <c r="N238"/>
  <c r="M238"/>
  <c r="L237"/>
  <c r="P236"/>
  <c r="Q236" s="1"/>
  <c r="R236" s="1"/>
  <c r="O236"/>
  <c r="N236"/>
  <c r="M236"/>
  <c r="L235"/>
  <c r="Q234"/>
  <c r="R234" s="1"/>
  <c r="M234"/>
  <c r="L233"/>
  <c r="P232"/>
  <c r="P231" s="1"/>
  <c r="I52" i="6" s="1"/>
  <c r="I51" s="1"/>
  <c r="O232" i="10"/>
  <c r="O231" s="1"/>
  <c r="H52" i="6" s="1"/>
  <c r="N232" i="10"/>
  <c r="N231" s="1"/>
  <c r="M232"/>
  <c r="M231" s="1"/>
  <c r="Q229"/>
  <c r="Q228"/>
  <c r="Q227"/>
  <c r="Q226"/>
  <c r="Q225"/>
  <c r="L225"/>
  <c r="L226" s="1"/>
  <c r="Q224"/>
  <c r="Q223"/>
  <c r="Q222"/>
  <c r="Q221"/>
  <c r="Q220"/>
  <c r="Q219"/>
  <c r="Q218"/>
  <c r="Q217"/>
  <c r="Q216"/>
  <c r="Q22" s="1"/>
  <c r="Q215"/>
  <c r="Q214"/>
  <c r="Q213"/>
  <c r="Q212"/>
  <c r="Q211"/>
  <c r="Q210"/>
  <c r="Q209"/>
  <c r="L209"/>
  <c r="Q208"/>
  <c r="Q207"/>
  <c r="Q206"/>
  <c r="Q205"/>
  <c r="Q204"/>
  <c r="Q203"/>
  <c r="Q202"/>
  <c r="Q201"/>
  <c r="Q200"/>
  <c r="Q199"/>
  <c r="Q198"/>
  <c r="Q197"/>
  <c r="Q196"/>
  <c r="Q195"/>
  <c r="Q194"/>
  <c r="Q193"/>
  <c r="Q192"/>
  <c r="O191"/>
  <c r="L191"/>
  <c r="O190"/>
  <c r="O189"/>
  <c r="P189" s="1"/>
  <c r="O188"/>
  <c r="O187"/>
  <c r="O186"/>
  <c r="O185"/>
  <c r="P185" s="1"/>
  <c r="O184"/>
  <c r="O183"/>
  <c r="N182"/>
  <c r="M182"/>
  <c r="L182"/>
  <c r="O181"/>
  <c r="O180"/>
  <c r="P180" s="1"/>
  <c r="N179"/>
  <c r="M179"/>
  <c r="L179"/>
  <c r="O178"/>
  <c r="M178"/>
  <c r="M177" s="1"/>
  <c r="L177"/>
  <c r="Q176"/>
  <c r="M176"/>
  <c r="Q175"/>
  <c r="R175" s="1"/>
  <c r="L175"/>
  <c r="R134"/>
  <c r="R133" s="1"/>
  <c r="L174"/>
  <c r="Q173"/>
  <c r="M173"/>
  <c r="L172"/>
  <c r="Q171"/>
  <c r="R171" s="1"/>
  <c r="Q170"/>
  <c r="R170" s="1"/>
  <c r="M170"/>
  <c r="M140" s="1"/>
  <c r="Q169"/>
  <c r="Q168"/>
  <c r="Q167"/>
  <c r="M167"/>
  <c r="M138" s="1"/>
  <c r="M24" s="1"/>
  <c r="Q166"/>
  <c r="R166" s="1"/>
  <c r="Q165"/>
  <c r="R165" s="1"/>
  <c r="Q164"/>
  <c r="R164" s="1"/>
  <c r="Q163"/>
  <c r="R163" s="1"/>
  <c r="M163"/>
  <c r="Q162"/>
  <c r="Q161"/>
  <c r="Q160"/>
  <c r="Q159"/>
  <c r="M159"/>
  <c r="M135" s="1"/>
  <c r="Q158"/>
  <c r="R158" s="1"/>
  <c r="Q157"/>
  <c r="R157" s="1"/>
  <c r="L157"/>
  <c r="P156"/>
  <c r="O156"/>
  <c r="N156"/>
  <c r="Q155"/>
  <c r="R155" s="1"/>
  <c r="M155"/>
  <c r="L154"/>
  <c r="Q153"/>
  <c r="R153" s="1"/>
  <c r="Q152"/>
  <c r="R152" s="1"/>
  <c r="M152"/>
  <c r="L151"/>
  <c r="Q150"/>
  <c r="R150" s="1"/>
  <c r="Q149"/>
  <c r="R149" s="1"/>
  <c r="L148"/>
  <c r="L147" s="1"/>
  <c r="Q146"/>
  <c r="R146" s="1"/>
  <c r="M146"/>
  <c r="L145"/>
  <c r="Q144"/>
  <c r="M144"/>
  <c r="M143" s="1"/>
  <c r="L143"/>
  <c r="Q142"/>
  <c r="M142"/>
  <c r="M141" s="1"/>
  <c r="L141"/>
  <c r="R140"/>
  <c r="P139"/>
  <c r="Q139" s="1"/>
  <c r="R139" s="1"/>
  <c r="O139"/>
  <c r="N139"/>
  <c r="M139"/>
  <c r="M22" s="1"/>
  <c r="L139"/>
  <c r="Q138"/>
  <c r="R138" s="1"/>
  <c r="L138"/>
  <c r="L24" s="1"/>
  <c r="Q137"/>
  <c r="R137" s="1"/>
  <c r="M137"/>
  <c r="L137"/>
  <c r="Q136"/>
  <c r="R136" s="1"/>
  <c r="M136"/>
  <c r="M23" s="1"/>
  <c r="L136"/>
  <c r="P135"/>
  <c r="Q135" s="1"/>
  <c r="R135" s="1"/>
  <c r="O135"/>
  <c r="N135"/>
  <c r="L135"/>
  <c r="O134"/>
  <c r="N134"/>
  <c r="N133" s="1"/>
  <c r="O130"/>
  <c r="P130" s="1"/>
  <c r="O129"/>
  <c r="O128"/>
  <c r="P128" s="1"/>
  <c r="O127"/>
  <c r="N126"/>
  <c r="M126"/>
  <c r="L126"/>
  <c r="Q125"/>
  <c r="Q124"/>
  <c r="Q123"/>
  <c r="Q122"/>
  <c r="Q121"/>
  <c r="R120"/>
  <c r="R80" s="1"/>
  <c r="P120"/>
  <c r="O120"/>
  <c r="N120"/>
  <c r="M120"/>
  <c r="L120"/>
  <c r="Q119"/>
  <c r="Q118"/>
  <c r="P117"/>
  <c r="Q117" s="1"/>
  <c r="O117"/>
  <c r="N117"/>
  <c r="M117"/>
  <c r="L117"/>
  <c r="Q116"/>
  <c r="Q115"/>
  <c r="Q114"/>
  <c r="Q113"/>
  <c r="Q112"/>
  <c r="L111"/>
  <c r="P110"/>
  <c r="Q110" s="1"/>
  <c r="R110" s="1"/>
  <c r="S110" s="1"/>
  <c r="T110" s="1"/>
  <c r="U110" s="1"/>
  <c r="O110"/>
  <c r="N110"/>
  <c r="P109"/>
  <c r="Q109" s="1"/>
  <c r="R109" s="1"/>
  <c r="S109" s="1"/>
  <c r="T109" s="1"/>
  <c r="U109" s="1"/>
  <c r="O109"/>
  <c r="N109"/>
  <c r="M109"/>
  <c r="P108"/>
  <c r="Q108" s="1"/>
  <c r="R108" s="1"/>
  <c r="S108" s="1"/>
  <c r="T108" s="1"/>
  <c r="U108" s="1"/>
  <c r="O108"/>
  <c r="N108"/>
  <c r="M108"/>
  <c r="Q107"/>
  <c r="R107" s="1"/>
  <c r="L107"/>
  <c r="L83" s="1"/>
  <c r="L21" s="1"/>
  <c r="L104"/>
  <c r="Q102"/>
  <c r="M102"/>
  <c r="Q101"/>
  <c r="L100"/>
  <c r="Q99"/>
  <c r="R99" s="1"/>
  <c r="M99"/>
  <c r="M98" s="1"/>
  <c r="L98"/>
  <c r="Q97"/>
  <c r="Q96"/>
  <c r="L95"/>
  <c r="Q94"/>
  <c r="Q93"/>
  <c r="Q92"/>
  <c r="R92" s="1"/>
  <c r="M92"/>
  <c r="Q91"/>
  <c r="R91" s="1"/>
  <c r="Q90"/>
  <c r="R90" s="1"/>
  <c r="P89"/>
  <c r="Q89" s="1"/>
  <c r="R89" s="1"/>
  <c r="O89"/>
  <c r="N89"/>
  <c r="M89"/>
  <c r="P88"/>
  <c r="Q88" s="1"/>
  <c r="R88" s="1"/>
  <c r="O88"/>
  <c r="N88"/>
  <c r="Q87"/>
  <c r="R87" s="1"/>
  <c r="M87"/>
  <c r="Q86"/>
  <c r="R86" s="1"/>
  <c r="M86"/>
  <c r="Q85"/>
  <c r="L84"/>
  <c r="O83"/>
  <c r="O21" s="1"/>
  <c r="N83"/>
  <c r="M83"/>
  <c r="O81"/>
  <c r="O19" s="1"/>
  <c r="N81"/>
  <c r="N19" s="1"/>
  <c r="M81"/>
  <c r="L81"/>
  <c r="O78"/>
  <c r="P78" s="1"/>
  <c r="Q78" s="1"/>
  <c r="L78"/>
  <c r="O77"/>
  <c r="P77" s="1"/>
  <c r="Q77" s="1"/>
  <c r="O76"/>
  <c r="P51" s="1"/>
  <c r="O75"/>
  <c r="P75" s="1"/>
  <c r="Q75" s="1"/>
  <c r="O74"/>
  <c r="N73"/>
  <c r="O72"/>
  <c r="P72" s="1"/>
  <c r="O71"/>
  <c r="O70"/>
  <c r="P70" s="1"/>
  <c r="O69"/>
  <c r="O68"/>
  <c r="P68" s="1"/>
  <c r="L67"/>
  <c r="L66"/>
  <c r="O65"/>
  <c r="O64"/>
  <c r="P64" s="1"/>
  <c r="O63"/>
  <c r="O62"/>
  <c r="P62" s="1"/>
  <c r="O61"/>
  <c r="O60"/>
  <c r="P60" s="1"/>
  <c r="Q60" s="1"/>
  <c r="O59"/>
  <c r="O58"/>
  <c r="P58" s="1"/>
  <c r="Q58" s="1"/>
  <c r="O57"/>
  <c r="O56"/>
  <c r="P56" s="1"/>
  <c r="O55"/>
  <c r="L54"/>
  <c r="N53"/>
  <c r="O53" s="1"/>
  <c r="P53" s="1"/>
  <c r="Q53" s="1"/>
  <c r="R53" s="1"/>
  <c r="L53"/>
  <c r="Q52"/>
  <c r="R52" s="1"/>
  <c r="O51"/>
  <c r="O50" s="1"/>
  <c r="N51"/>
  <c r="L51"/>
  <c r="L50" s="1"/>
  <c r="N50"/>
  <c r="N27" s="1"/>
  <c r="Q49"/>
  <c r="R49" s="1"/>
  <c r="M49"/>
  <c r="L49"/>
  <c r="L48" s="1"/>
  <c r="Q47"/>
  <c r="R47" s="1"/>
  <c r="Q46"/>
  <c r="R46" s="1"/>
  <c r="M46"/>
  <c r="Q45"/>
  <c r="Q44"/>
  <c r="R44" s="1"/>
  <c r="M44"/>
  <c r="Q43"/>
  <c r="R43" s="1"/>
  <c r="M43"/>
  <c r="Q42"/>
  <c r="Q41"/>
  <c r="R41" s="1"/>
  <c r="M41"/>
  <c r="Q40"/>
  <c r="R40" s="1"/>
  <c r="Q39"/>
  <c r="R39" s="1"/>
  <c r="M39"/>
  <c r="Q38"/>
  <c r="R38" s="1"/>
  <c r="M38"/>
  <c r="Q37"/>
  <c r="R37" s="1"/>
  <c r="Q36"/>
  <c r="R36" s="1"/>
  <c r="Q35"/>
  <c r="R35" s="1"/>
  <c r="P34"/>
  <c r="Q34" s="1"/>
  <c r="R34" s="1"/>
  <c r="O34"/>
  <c r="N34"/>
  <c r="Q33"/>
  <c r="R33" s="1"/>
  <c r="M33"/>
  <c r="Q32"/>
  <c r="R32" s="1"/>
  <c r="Q31"/>
  <c r="R31" s="1"/>
  <c r="M31"/>
  <c r="Q30"/>
  <c r="M30"/>
  <c r="Q29"/>
  <c r="R29" s="1"/>
  <c r="L28"/>
  <c r="M27"/>
  <c r="M26" s="1"/>
  <c r="M25"/>
  <c r="L23"/>
  <c r="R22"/>
  <c r="P22"/>
  <c r="O22"/>
  <c r="N22"/>
  <c r="L22"/>
  <c r="M19"/>
  <c r="R18" l="1"/>
  <c r="S80"/>
  <c r="T80" s="1"/>
  <c r="U80" s="1"/>
  <c r="L19"/>
  <c r="M156"/>
  <c r="P19"/>
  <c r="Q19"/>
  <c r="O133"/>
  <c r="H43" i="6" s="1"/>
  <c r="N21" i="10"/>
  <c r="N80"/>
  <c r="N79" s="1"/>
  <c r="M80"/>
  <c r="M79" s="1"/>
  <c r="M134"/>
  <c r="M133" s="1"/>
  <c r="Q156"/>
  <c r="M21"/>
  <c r="O182"/>
  <c r="Q232"/>
  <c r="Q231" s="1"/>
  <c r="J52" i="6" s="1"/>
  <c r="J51" s="1"/>
  <c r="N26" i="10"/>
  <c r="N18"/>
  <c r="N17" s="1"/>
  <c r="Q51"/>
  <c r="R51" s="1"/>
  <c r="P50"/>
  <c r="Q50" s="1"/>
  <c r="P21"/>
  <c r="O179"/>
  <c r="Q21"/>
  <c r="O27"/>
  <c r="O26" s="1"/>
  <c r="H25" i="6" s="1"/>
  <c r="L239" i="10"/>
  <c r="L232" s="1"/>
  <c r="R19"/>
  <c r="R85"/>
  <c r="R96"/>
  <c r="S96" s="1"/>
  <c r="T96" s="1"/>
  <c r="U96" s="1"/>
  <c r="R97"/>
  <c r="S97" s="1"/>
  <c r="T97" s="1"/>
  <c r="U97" s="1"/>
  <c r="R30"/>
  <c r="R42"/>
  <c r="R45"/>
  <c r="L52"/>
  <c r="P55"/>
  <c r="Q55" s="1"/>
  <c r="Q56"/>
  <c r="P57"/>
  <c r="Q57" s="1"/>
  <c r="P59"/>
  <c r="Q59" s="1"/>
  <c r="P61"/>
  <c r="Q61" s="1"/>
  <c r="Q62"/>
  <c r="P63"/>
  <c r="Q63" s="1"/>
  <c r="Q64"/>
  <c r="P65"/>
  <c r="Q65" s="1"/>
  <c r="Q68"/>
  <c r="P69"/>
  <c r="Q69" s="1"/>
  <c r="Q70"/>
  <c r="P71"/>
  <c r="Q71" s="1"/>
  <c r="Q72"/>
  <c r="O73"/>
  <c r="P73" s="1"/>
  <c r="Q73" s="1"/>
  <c r="P74"/>
  <c r="Q74" s="1"/>
  <c r="P76"/>
  <c r="L80"/>
  <c r="R93"/>
  <c r="R94"/>
  <c r="Q120"/>
  <c r="O126"/>
  <c r="O80" s="1"/>
  <c r="O79" s="1"/>
  <c r="H34" i="6" s="1"/>
  <c r="P127" i="10"/>
  <c r="Q128"/>
  <c r="P129"/>
  <c r="Q129" s="1"/>
  <c r="Q130"/>
  <c r="L134"/>
  <c r="L133" s="1"/>
  <c r="R142"/>
  <c r="R144"/>
  <c r="L156"/>
  <c r="R159"/>
  <c r="R160"/>
  <c r="R161"/>
  <c r="R162"/>
  <c r="R167"/>
  <c r="R168"/>
  <c r="R169"/>
  <c r="R173"/>
  <c r="R176"/>
  <c r="P178"/>
  <c r="Q178" s="1"/>
  <c r="Q180"/>
  <c r="P181"/>
  <c r="Q181" s="1"/>
  <c r="P183"/>
  <c r="P184"/>
  <c r="Q184" s="1"/>
  <c r="Q185"/>
  <c r="P186"/>
  <c r="Q186" s="1"/>
  <c r="P187"/>
  <c r="Q187" s="1"/>
  <c r="P188"/>
  <c r="Q188" s="1"/>
  <c r="Q189"/>
  <c r="P190"/>
  <c r="Q190" s="1"/>
  <c r="P191"/>
  <c r="Q191" s="1"/>
  <c r="R232"/>
  <c r="R231" s="1"/>
  <c r="R240"/>
  <c r="S18" l="1"/>
  <c r="T18" s="1"/>
  <c r="U18" s="1"/>
  <c r="R17"/>
  <c r="S17" s="1"/>
  <c r="T17" s="1"/>
  <c r="U17" s="1"/>
  <c r="R21"/>
  <c r="R79"/>
  <c r="M18"/>
  <c r="M17" s="1"/>
  <c r="Q179"/>
  <c r="O18"/>
  <c r="O17" s="1"/>
  <c r="R156"/>
  <c r="L231"/>
  <c r="Q183"/>
  <c r="P182"/>
  <c r="Q127"/>
  <c r="P126"/>
  <c r="P80" s="1"/>
  <c r="P79" s="1"/>
  <c r="R50"/>
  <c r="P179"/>
  <c r="L79"/>
  <c r="Q76"/>
  <c r="Q27" s="1"/>
  <c r="P27"/>
  <c r="L27"/>
  <c r="S79" l="1"/>
  <c r="K34" i="6"/>
  <c r="Q26" i="10"/>
  <c r="J25" i="6" s="1"/>
  <c r="J24" s="1"/>
  <c r="L26" i="10"/>
  <c r="L18"/>
  <c r="L17" s="1"/>
  <c r="R27"/>
  <c r="Q126"/>
  <c r="Q80" s="1"/>
  <c r="Q79" s="1"/>
  <c r="P18"/>
  <c r="P17" s="1"/>
  <c r="Q182"/>
  <c r="P26"/>
  <c r="I25" i="6" s="1"/>
  <c r="T79" i="10" l="1"/>
  <c r="L34" i="6"/>
  <c r="K33"/>
  <c r="K16"/>
  <c r="I24"/>
  <c r="I34"/>
  <c r="R26" i="10"/>
  <c r="U79" l="1"/>
  <c r="N34" i="6" s="1"/>
  <c r="M34"/>
  <c r="L33"/>
  <c r="L16"/>
  <c r="L15" s="1"/>
  <c r="I33"/>
  <c r="J34"/>
  <c r="J33" s="1"/>
  <c r="Q18" i="10"/>
  <c r="Q17" s="1"/>
  <c r="N16" i="6" l="1"/>
  <c r="N15" s="1"/>
  <c r="N33"/>
  <c r="P34"/>
  <c r="M16"/>
  <c r="M15" s="1"/>
  <c r="M33"/>
  <c r="G18"/>
  <c r="F44"/>
  <c r="H51"/>
  <c r="G51"/>
  <c r="F51"/>
  <c r="E51"/>
  <c r="G50"/>
  <c r="F50"/>
  <c r="E50"/>
  <c r="E23" s="1"/>
  <c r="H42"/>
  <c r="G43"/>
  <c r="F43"/>
  <c r="E43"/>
  <c r="H18"/>
  <c r="F36"/>
  <c r="F18" s="1"/>
  <c r="E36"/>
  <c r="E18" s="1"/>
  <c r="H33"/>
  <c r="P33" s="1"/>
  <c r="G34"/>
  <c r="G33" s="1"/>
  <c r="F34"/>
  <c r="E34"/>
  <c r="H24"/>
  <c r="G24"/>
  <c r="F24"/>
  <c r="E24"/>
  <c r="J23"/>
  <c r="I23"/>
  <c r="H23"/>
  <c r="F23"/>
  <c r="F22"/>
  <c r="E22"/>
  <c r="F21"/>
  <c r="E21"/>
  <c r="I18"/>
  <c r="J17"/>
  <c r="I17"/>
  <c r="G17"/>
  <c r="F17"/>
  <c r="G23" l="1"/>
  <c r="J18"/>
  <c r="F42"/>
  <c r="H17"/>
  <c r="F16"/>
  <c r="F15" s="1"/>
  <c r="J16"/>
  <c r="J15" s="1"/>
  <c r="E16"/>
  <c r="E15" s="1"/>
  <c r="G42"/>
  <c r="G16"/>
  <c r="G15" s="1"/>
  <c r="K15"/>
  <c r="I16"/>
  <c r="H16"/>
  <c r="F33"/>
  <c r="E33"/>
  <c r="E42"/>
  <c r="P16" l="1"/>
  <c r="H15"/>
  <c r="I15"/>
  <c r="P15" l="1"/>
  <c r="N67" i="10"/>
  <c r="M67"/>
  <c r="P67"/>
  <c r="O67"/>
</calcChain>
</file>

<file path=xl/sharedStrings.xml><?xml version="1.0" encoding="utf-8"?>
<sst xmlns="http://schemas.openxmlformats.org/spreadsheetml/2006/main" count="3305" uniqueCount="856">
  <si>
    <t>Приложение 2</t>
  </si>
  <si>
    <t>(указать наименование государственной программы)</t>
  </si>
  <si>
    <t xml:space="preserve">Ответственный исполнитель </t>
  </si>
  <si>
    <t>Минсоцполитики УР</t>
  </si>
  <si>
    <t>(указать наименование исполнительного органа государственной власти  Удмуртской Республики)</t>
  </si>
  <si>
    <t>Код аналитической программной классификации</t>
  </si>
  <si>
    <t>ГП</t>
  </si>
  <si>
    <t>Пп</t>
  </si>
  <si>
    <t>ОМ</t>
  </si>
  <si>
    <t>М</t>
  </si>
  <si>
    <t>30</t>
  </si>
  <si>
    <t>1</t>
  </si>
  <si>
    <t xml:space="preserve">Развитие мер социальной поддержки отдельных категорий граждан </t>
  </si>
  <si>
    <t>01</t>
  </si>
  <si>
    <t>Предоставление мер социальной поддержки, оказание государственной социальной помощи, выплата социальных пособий и компенсаций отдельным категориям граждан</t>
  </si>
  <si>
    <t>Обеспечение мер социальной поддержки ветеранов труда (ежемесячная денежная выплата)</t>
  </si>
  <si>
    <t>02</t>
  </si>
  <si>
    <t>Обеспечение мер социальной поддержки тружеников тыла</t>
  </si>
  <si>
    <t>03</t>
  </si>
  <si>
    <t>Обеспечение мер социальной поддержки реабилитированных лиц и лиц, признанных пострадавшими от политических репрессий (ежемесячная денежная выплата)</t>
  </si>
  <si>
    <t>04</t>
  </si>
  <si>
    <t>Обеспечение мер социальной поддержки ветеранов труда (ежемесячная денежная компенсация расходов на оплату жилого помещения и коммунальных услуг)</t>
  </si>
  <si>
    <t>05</t>
  </si>
  <si>
    <t>Обеспечение мер социальной поддержки реабилитированных лиц и лиц, признанных пострадавшими от политических репрессий (ежемесячная денежная компенсация расходов на оплату жилого помещения и коммунальных услуг)</t>
  </si>
  <si>
    <t>06</t>
  </si>
  <si>
    <t>Оплата жилищно-коммунальных услуг отдельным категориям граждан</t>
  </si>
  <si>
    <t>07</t>
  </si>
  <si>
    <t>Обеспечение мер социальной поддержки для лиц, награжденных знаком «Почетный донор СССР», «Почетный донор России»</t>
  </si>
  <si>
    <t>08</t>
  </si>
  <si>
    <t>Оказание материальной помощьи малоимущим семьям,  малоимущим одиноко проживающим гражданам, а также иным гражданам, находящимся в трудной жизненной ситуации</t>
  </si>
  <si>
    <t>09</t>
  </si>
  <si>
    <t>На реализацию Указа Президента Удмуртской Республики от 16 июня 2009 года № 173 «Об организации чествования супружеских пар, отмечающих 50-, 55-, 60-, 65-, 70- и 75-летие совместной жизни»</t>
  </si>
  <si>
    <t>10</t>
  </si>
  <si>
    <t>Выплата социального пособия на погребение и возмещение расходов по гарантированному перечню услуг по погребению за счет бюджетов субъектов Российской Федерации и местных бюджетов</t>
  </si>
  <si>
    <t>11</t>
  </si>
  <si>
    <t>На реализацию льгот гражданам, имеющим звание «Почетный гражданин Удмуртской Республики»</t>
  </si>
  <si>
    <t>12</t>
  </si>
  <si>
    <t>На реализацию Закона Удмуртской Республики от 14 июня 2007 года № 30-РЗ «О ежегодной денежной выплате инвалидам боевых действий, проходившим военную службу по призыву»</t>
  </si>
  <si>
    <t>13</t>
  </si>
  <si>
    <t>Доплаты к пенсиям государственных служащих субъектов Российской Федерации и муниципальных служащих</t>
  </si>
  <si>
    <t>14</t>
  </si>
  <si>
    <t>Выплата стипендий учащимся организаций среднего профессионального образования</t>
  </si>
  <si>
    <t>15</t>
  </si>
  <si>
    <t xml:space="preserve">Осуществление ежемесячной денежной выплаты отдельным категориям граждан </t>
  </si>
  <si>
    <t>16</t>
  </si>
  <si>
    <t xml:space="preserve">Выплата пенсии по старости в соответствии с законами Удмуртской Республики "О пожарной безопасности в Удмуртской Республике" и "Об аварийно-спасательных службах Удмуртской Республики и гарантиях спасателям аварийно-спасательных служб Удмуртской Республики" </t>
  </si>
  <si>
    <t>17</t>
  </si>
  <si>
    <t>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</si>
  <si>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18</t>
  </si>
  <si>
    <t>Государственные единовременные пособия и ежемесячные денежные компенсации гражданам при возникновении поствакцинальных осложнений</t>
  </si>
  <si>
    <t>19</t>
  </si>
  <si>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</si>
  <si>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Обеспечение техническими средствами реабилитации отдельных категорий граждан в части полномочий Удмуртской Республики </t>
  </si>
  <si>
    <t xml:space="preserve">Обеспечение техническими средствами реабилитации, протезами (кроме зубных протезов), протезно- ортопедическими изделиями инвалидов и отдельных категорий граждан из числа ветеранов                                                                                                                                                                                </t>
  </si>
  <si>
    <t>Обеспечение инвалидов и отдельных категорий граждан из числа ветеранов техническими средствами реабилитации, включая ремонт</t>
  </si>
  <si>
    <t>Обеспечение отдельных категорий граждан путевками на санаторно-курортное лечение и бесплатным проездом на междугородном транспорте к месту лечения и обратно</t>
  </si>
  <si>
    <t>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</si>
  <si>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Удмуртская республиканская организация общероссийской общественной организации «Всероссийское общество инвалидов» (ВОИ)</t>
  </si>
  <si>
    <t>Удмуртская республиканская организация Общероссийской общественной организации инвалидов «Всероссийское ордена Трудового Красного Знамени общество слепых» (ВОС)</t>
  </si>
  <si>
    <t>Удмуртское республиканское отделение Общероссийской общественной организации инвалидов «Всероссийское общество глухих»</t>
  </si>
  <si>
    <t>Удмуртская региональная Ассоциация общественных организаций инвалидов общероссийской общественной организации инвалидов - Российского союза инвалидов - общественная организация инвалидов</t>
  </si>
  <si>
    <t>Удмуртская общественная организация «Ассоциации жертв политических репрессий»</t>
  </si>
  <si>
    <t>Общественная организация инвалидов и ветеранов радиационных аварий - Республиканское общество Союз «Чернобыль» Удмуртской  Республики</t>
  </si>
  <si>
    <t>Удмуртская региональная организация Общероссийской общественной организации инвалидов войны в Афганистане и военной травмы - «Инвалиды войны»</t>
  </si>
  <si>
    <t>Удмуртская  республиканская общественная организация Всероссийской общественной организации ветеранов (пенсионеров) войны, труда, Вооруженных Сил и правоохранительных органов</t>
  </si>
  <si>
    <t>Удмуртская региональная общественная организация инвалидов, больных гемофилией и болезнью Виллебранда</t>
  </si>
  <si>
    <t>Республиканское отделение комитета ветеранов-инвалидов подразделений особого риска РФ Удмуртии</t>
  </si>
  <si>
    <t>Региональная общественная организация ветеранов и пенсионеров Главного управления МЧС России по Удмуртской Республике</t>
  </si>
  <si>
    <t>Осуществление мер социальной поддержки граждан в денежной форме, в том числе:</t>
  </si>
  <si>
    <t>ежемесячное  денежное вознаграждение за почетное звание «Почетный гражданин Удмуртской Республики»</t>
  </si>
  <si>
    <t>ежегодные денежные выплаты инвалидам боевых действий, проходившим военную службу по призыву</t>
  </si>
  <si>
    <t>доплаты к пенсиям, дополнительное пенсионное обеспечение</t>
  </si>
  <si>
    <t xml:space="preserve">единовременное пособие и ежемесячная денежная компенсация гражданам при возникновении поствакцинальных осложнений                                                         </t>
  </si>
  <si>
    <t xml:space="preserve">выплаты инвалидам компенсаций страховых премий по договору обязательного страхования гражданской ответственности владельцев транспортных средств (ОСАГО)                                                                     </t>
  </si>
  <si>
    <t xml:space="preserve">материальная помощь малоимущим семьям,  малоимущим одиноко проживающим гражданам, а также иным гражданам, находящимся в трудной жизненной ситуации </t>
  </si>
  <si>
    <t>Субсидии отдельным общественным организациям и иным некоммерческим объединениям на реализацию функций в области социальной политики</t>
  </si>
  <si>
    <t>2</t>
  </si>
  <si>
    <t xml:space="preserve"> Реализация демографической и семейной политики, совершенствование социальной поддержки семей с детьми</t>
  </si>
  <si>
    <t>Выплата компенсации расходов на приобретение одежды и обуви для школьников из малоимущих семей, а также семей оказавшихся в трудной жизненной ситуации</t>
  </si>
  <si>
    <t>пособие по беременности и родам безработным женщинам</t>
  </si>
  <si>
    <t>Расходы на выплату ежемесячных пособий по уходу за ребенком лицам, не подлежащим обязательному социальному страхованию  на случай временной нетрудоспособности и в связи с материнством, а также уволенных в связи с ликвидацией организаций</t>
  </si>
  <si>
    <t>Ежемесячная денежная выплата нуждающимся в поддержке семьям при рождении в семье после 31 декабря 2012 года третьего и последующих детей</t>
  </si>
  <si>
    <t xml:space="preserve">Единовременное пособие беременной жене военнослужащего, проходящего военную службу по призыву, а также ежемесячное пособие на ребенка служащего, проходящего военную службу по призыву                    
</t>
  </si>
  <si>
    <t>Оказание единовременной материальной помощи семьям, направляющим детей-инвалидов на продолжительное лечение или операцию за пределы Удмуртской Республики</t>
  </si>
  <si>
    <t>Денежное вознаграждение награжденным знаком отличия «Материнская слава» и «Родительская слава»</t>
  </si>
  <si>
    <t>На реализацию Закона Удмуртской Республики от 7 октября 2005 года № 52-РЗ «Об учреждении знака отличия «Материнская слава»</t>
  </si>
  <si>
    <t>Единовременное денежное вознаграждение  для награжденных знаком отличия «Родительская слава»</t>
  </si>
  <si>
    <t>Обеспечение текущей деятельности автономного учреждения Удмуртской Республики «Загородный оздоровительный комплекс «Лесная сказка»</t>
  </si>
  <si>
    <t>Субсидия автономному учреждению на финансовое обеспечение государственного задания на оказание государственной услуги «Обеспечение оздоровления и отдыха детей»</t>
  </si>
  <si>
    <t xml:space="preserve">Осуществление мер по профилактике безнадзорности и правонарушений несовершеннолетних                                  </t>
  </si>
  <si>
    <t xml:space="preserve">Расходы на осуществление деятельности, связанной с перевозкой в пределах Удмуртской Республики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t>
  </si>
  <si>
    <t>Выполнение мероприятий по укреплению и развитию института семьи</t>
  </si>
  <si>
    <t>Министерство здравоохранения Удмуртской Республики</t>
  </si>
  <si>
    <t>Агентство печати и массовых коммуникаций Удмуртской Республики</t>
  </si>
  <si>
    <t>Реализация мер по стабилизации демографической ситуации в Удмуртской Республике</t>
  </si>
  <si>
    <t xml:space="preserve">Предоставление мер социальной поддержки многодетным семьям </t>
  </si>
  <si>
    <t>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</si>
  <si>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Система мер  социальной поддержки детей-сирот и детей, оставшихся без попечения родителей</t>
  </si>
  <si>
    <t>Денежные компенсационные выплаты за питание детям-сиротам и детям, оставшимся без попечения родителей</t>
  </si>
  <si>
    <t>Денежные компенсационные выплаты по обеспечению детей-сирот и детей, оставшихся без попечения родителей, в том числе выпускников, одеждой и обувью</t>
  </si>
  <si>
    <t>Выплаты единовременного денежного пособия выпускникам образовательных организаций из числа детей-сирот и детей, оставшихся без попечения родителей</t>
  </si>
  <si>
    <t>Ежегодное пособие на приобретение учебной литературы и письменных принадлежностей в размере трехмесячной стипендии</t>
  </si>
  <si>
    <t>Уплата налога на имущество организаций и земельного налога</t>
  </si>
  <si>
    <t>Министерство социальной, семейной и демографической политики Удмуртской Республики</t>
  </si>
  <si>
    <t>Выплата единовременного денежного пособия при усыновлении или удочерении детей-сирот и детей, оставшихся без попечения родителей</t>
  </si>
  <si>
    <t>Организация социальной поддержки детей-сирот и детей, оставшихся без попечения родителей</t>
  </si>
  <si>
    <t>Организация опеки и попечительства в отношении несовершеннолетних</t>
  </si>
  <si>
    <t>Система мер по оказанию социальной поддержки семьям с детьми</t>
  </si>
  <si>
    <t>Выплаты семьям опекунов на содержание подопечных детей</t>
  </si>
  <si>
    <t>Выплата единовременного вознаграждения награждённым знаком отличия «Родительская слава»</t>
  </si>
  <si>
    <t>Создание и организация деятельности комиссий по делам несовершеннолетних и защите их прав</t>
  </si>
  <si>
    <t>3</t>
  </si>
  <si>
    <t xml:space="preserve">Модернизация и развитие социального обслуживания населения </t>
  </si>
  <si>
    <t>Обеспечение текущей деятельности домов -интернатов для престарелых и инвалидов, психоневрологических интернатов, детских домов-интернатов для умственно отсталых детей</t>
  </si>
  <si>
    <t>Оказание государственными учреждениями государственных услуг, выполнение работ, финансовое обеспечение деятельности государственных учреждений</t>
  </si>
  <si>
    <t xml:space="preserve">Обеспечение текущей деятельности  социально-реабилитиционных центров, реабилитационных центров для детей и подростков с ограниченными возможностями, комплексных центров социального обслуживания населения, центров психолого-педагогической помощи населению </t>
  </si>
  <si>
    <t>Уплата налога</t>
  </si>
  <si>
    <t>Меры социальной поддержки работникам государственных учреждений Удмуртской Республики</t>
  </si>
  <si>
    <t>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t>
  </si>
  <si>
    <t>Денежная компенсация расходов по оплате жилых помещений и коммунальных услуг (отопление, освещение) работникам государственных учреждений Удмуртской Республики, проживающим и работающим в сельских населенных пунктах, рабочих поселках и поселках городского типа</t>
  </si>
  <si>
    <t>Укрепление материально - технической базы Минсоцполитики УР, его территориальных органов и подведомственных ему организаций</t>
  </si>
  <si>
    <t>Субсидии государственным учреждениям на укрепление материально-технической базы</t>
  </si>
  <si>
    <t>Расходы по подготовке Минсоцполитики УР, его территориальных органов и подведомственных ему организаций к отопительному сезону</t>
  </si>
  <si>
    <t xml:space="preserve">Мероприятия, направленные на улучшение положения и качества жизни пожилых людей </t>
  </si>
  <si>
    <t>Мероприятия по улучшению положения и качества жизни пожилых людей</t>
  </si>
  <si>
    <t>Адаптация объектов социальной инфраструктуры с целью доступности для инвалидов</t>
  </si>
  <si>
    <t>Адаптация объектов социальной инфраструктуры с целью доступности для инвалидов и другие мероприятия в рамках реализации государственной программы Российской Федерации «Доступная среда»</t>
  </si>
  <si>
    <t>Реализация мероприятий по обеспечению пожарной безопасности Минсоцполитики УР, его территориальных органов и подведомственных ему организаций</t>
  </si>
  <si>
    <t xml:space="preserve">Реализация социальных программ Удмуртской Республики 
</t>
  </si>
  <si>
    <t>Социальная  программа Удмуртской Республики  «Укрепление материально-технической базы учреждений социального обслуживания населения и  обучение компьютерной грамотности неработающих пенсионеров за счёт субсидии Пенсионного фонда Российской Федерации  и средств бюджета Удмуртской Республики»</t>
  </si>
  <si>
    <t xml:space="preserve">Развитие системы социального обслуживания граждан с применением механизмов государственно - частного партнерства </t>
  </si>
  <si>
    <t xml:space="preserve">Выплата компенсации поставщикам социальных услуг на территории Удмуртской Республики </t>
  </si>
  <si>
    <t>Обеспечение текущей деятельности учреждений социального обслуживания</t>
  </si>
  <si>
    <t>социальное обслуживание в социально-реабилитационных центрах для несовершеннолетних</t>
  </si>
  <si>
    <t>социальное обслуживание в реабилитационных центрах для детей и подростков с ограниченными возможностями</t>
  </si>
  <si>
    <t>Субсидии бюджетным учреждениям на финансовое обеспечение государственного задания на оказание государственных услуг</t>
  </si>
  <si>
    <t>стационарное социальное обслуживание в домах-интернатах для престарелых и инвалидов</t>
  </si>
  <si>
    <t>стационарное социальное обслуживание в психоневрологических интернатах</t>
  </si>
  <si>
    <t>стационарное социальное обслуживание в детских домах-интернатах для умственно отсталых детей</t>
  </si>
  <si>
    <t>социальное обслуживание в социально-реабилитационных центрах для граждан пожилого возраста и инвалидов</t>
  </si>
  <si>
    <t>Социальное обслуживание в комплексных центрах социального обслуживания</t>
  </si>
  <si>
    <t>Социальная помощь населению</t>
  </si>
  <si>
    <t>Социальное обслуживание в социальных гостиницах</t>
  </si>
  <si>
    <t>Ежемесячные компенсационные выплаты матерям (или другим родственникам, фактически осуществляющих уход за ребенком), состоящим в трудовых отношениях на условиях найма с организациями, находящимся в отпуске по уходу за ребенком</t>
  </si>
  <si>
    <t>Укрепление материально - технической базы учреждений социального обслуживания</t>
  </si>
  <si>
    <t>Субсидия автономным и бюджетным учреждениям на укрепление материально - технической базы учреждений социального обслуживания</t>
  </si>
  <si>
    <t>Организация  свободного времени и культурного досуга пожилых людей</t>
  </si>
  <si>
    <t>Субсидия автономным и бюджетным учреждениям на обеспечение пожарной безопасности</t>
  </si>
  <si>
    <t>Мероприятия  по обеспечению пожарной безопасности в казенных учреждениях и территориальных органах</t>
  </si>
  <si>
    <t xml:space="preserve">Реализация Социальной программы Удмуртской Республики «Укрепление материально-технической базы учреждений социального обслуживания населения и оказание адресной социальной помощи неработающим пенсионерам, являющимся получателями трудовых пенсий по старости и по инвалидности, за счёт субсидии Пенсионного фонда Российской Федерации и средств бюджета Удмуртской Республики»
</t>
  </si>
  <si>
    <t>Расходы на подготовку учреждений к отопительному сезону</t>
  </si>
  <si>
    <t>4</t>
  </si>
  <si>
    <t>Расходы по организации предоставления государственных услуг Минсоцполитики УР и его территориальными органами</t>
  </si>
  <si>
    <t>Обеспечение текущей деятельности, руководство и управление в сфере установленных функций центрального аппарата Минсоцполитики УР</t>
  </si>
  <si>
    <t>Центральный аппарат</t>
  </si>
  <si>
    <t>Территориальные органы</t>
  </si>
  <si>
    <t>Уплата налога на имущество</t>
  </si>
  <si>
    <t>Уплата земельного налога</t>
  </si>
  <si>
    <t xml:space="preserve">Обеспечение государственных полномочий, переданных органам местного самоуправления, в части  организации и осуществления деятельности по социальной поддержке отдельных категорий граждан </t>
  </si>
  <si>
    <t>Организация учета (регистрация) многодетных семей</t>
  </si>
  <si>
    <t xml:space="preserve">Централизованные мероприятия Министерства </t>
  </si>
  <si>
    <t xml:space="preserve">Обеспечение текущей деятельности, руководство и управление в сфере установленных функций центрального аппарата Министерства                                       </t>
  </si>
  <si>
    <t>Приложение 1</t>
  </si>
  <si>
    <t>Наименование государственной программы</t>
  </si>
  <si>
    <t xml:space="preserve">«Социальная  поддержка граждан» </t>
  </si>
  <si>
    <t>Ответственный исполнитель</t>
  </si>
  <si>
    <t>Показатель применения меры</t>
  </si>
  <si>
    <t>2015 г.</t>
  </si>
  <si>
    <t>2016 г.</t>
  </si>
  <si>
    <t>2017 г.</t>
  </si>
  <si>
    <t>2018 г.</t>
  </si>
  <si>
    <t>2019 г.</t>
  </si>
  <si>
    <t>2020 г.</t>
  </si>
  <si>
    <t>2021 г.</t>
  </si>
  <si>
    <t xml:space="preserve">Расходы на выплату единовременных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 </t>
  </si>
  <si>
    <t xml:space="preserve">Расходы на выплату единовременных пособий женщинам, вставшим на учет в медицинских учреждениях в ранние сроки беременности, уволенным в связи с ликвидацией организаций, прекращением деятельности (полномочий) физических лиц в установленном порядке </t>
  </si>
  <si>
    <t>Расходы на выплату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t>
  </si>
  <si>
    <t>к постановлению Правительства
Удмуртской Республики 
от «___»    _______ 2018 года № ___</t>
  </si>
  <si>
    <t>к государственной программе
Удмуртской Республики «Социальная поддержка граждан»</t>
  </si>
  <si>
    <t xml:space="preserve">Информация по финансовому обеспечению государственной программы за счет средств бюджета Удмуртской Республики и бюджета Территориального фонда обязательного медицинского страхования Удмуртской Республики 
</t>
  </si>
  <si>
    <t>Наименование государственной программы, подпрограммы, основного мероприятия, мероприятия</t>
  </si>
  <si>
    <t>Ответственный исполнитель, соисполнитель</t>
  </si>
  <si>
    <t>Код бюджетной классификации</t>
  </si>
  <si>
    <t>Расходы бюджета Удмуртской Республики, тыс. рублей</t>
  </si>
  <si>
    <t>Код главы</t>
  </si>
  <si>
    <t>Рз</t>
  </si>
  <si>
    <t>Пр</t>
  </si>
  <si>
    <t>ЦС</t>
  </si>
  <si>
    <t>ВР</t>
  </si>
  <si>
    <t>Социальная поддержка граждан</t>
  </si>
  <si>
    <t>всего</t>
  </si>
  <si>
    <t>Министерство образования и науки Удмуртской Республики</t>
  </si>
  <si>
    <t xml:space="preserve">Министерство по физической культуре, спорту и молодежной политике Удмуртской Республики
</t>
  </si>
  <si>
    <t>Министерство культуры и туризма Удмуртской Республики</t>
  </si>
  <si>
    <t>Министерство труда и миграционной политики Удмуртской Республики</t>
  </si>
  <si>
    <t>Х</t>
  </si>
  <si>
    <t>3010000000</t>
  </si>
  <si>
    <t>3010100000</t>
  </si>
  <si>
    <t>310,
320,
240,
340</t>
  </si>
  <si>
    <t>3010105530, 
3010553</t>
  </si>
  <si>
    <t>310, 313</t>
  </si>
  <si>
    <t>3010103730, 
3010373</t>
  </si>
  <si>
    <t>3010105540, 
3010554</t>
  </si>
  <si>
    <t>3010103720, 
3010372</t>
  </si>
  <si>
    <t>3010103740, 
3010374</t>
  </si>
  <si>
    <t>30101052500,
3015250</t>
  </si>
  <si>
    <t>240, 310, 313, 244</t>
  </si>
  <si>
    <t>3010152200, 
3015220</t>
  </si>
  <si>
    <t>3010103560</t>
  </si>
  <si>
    <t>3010103570, 
3010357</t>
  </si>
  <si>
    <t>3010103530</t>
  </si>
  <si>
    <t>3010103580</t>
  </si>
  <si>
    <t>3010103610</t>
  </si>
  <si>
    <t>3010103430</t>
  </si>
  <si>
    <t>3010103810</t>
  </si>
  <si>
    <t>340, 312</t>
  </si>
  <si>
    <t>3010107220</t>
  </si>
  <si>
    <t>3010107230</t>
  </si>
  <si>
    <t>3010151370,  
3015137</t>
  </si>
  <si>
    <t>310, 321,323</t>
  </si>
  <si>
    <t>3010152400</t>
  </si>
  <si>
    <t>3010152800</t>
  </si>
  <si>
    <t>3010300000</t>
  </si>
  <si>
    <t>Обеспечение техническими средствами реабилитации, включая изготовление и ремонт протезно-ортопедических изделий и оказание услуг по сурдопереводу</t>
  </si>
  <si>
    <t>3010303550</t>
  </si>
  <si>
    <t>3010400000</t>
  </si>
  <si>
    <t>3010451300</t>
  </si>
  <si>
    <t>3010500000</t>
  </si>
  <si>
    <t>3010551940</t>
  </si>
  <si>
    <t>3010600000</t>
  </si>
  <si>
    <t>3010604080</t>
  </si>
  <si>
    <t>3010604090</t>
  </si>
  <si>
    <t>3010604100</t>
  </si>
  <si>
    <t>3010604110</t>
  </si>
  <si>
    <t>3010604120</t>
  </si>
  <si>
    <t>3010604140</t>
  </si>
  <si>
    <t>3010604150</t>
  </si>
  <si>
    <t>3010604160</t>
  </si>
  <si>
    <t>3010604170</t>
  </si>
  <si>
    <t>3010604180</t>
  </si>
  <si>
    <t>3010606650</t>
  </si>
  <si>
    <t>Социальное обеспечение: предоставление государственной социальной помощи,  а также выплата социальных пособий и компенсаций:</t>
  </si>
  <si>
    <t>социальные пособия  на погребение</t>
  </si>
  <si>
    <t>3010353</t>
  </si>
  <si>
    <t>313</t>
  </si>
  <si>
    <t>3010358</t>
  </si>
  <si>
    <t>3010361</t>
  </si>
  <si>
    <t>3010343</t>
  </si>
  <si>
    <t>3015240</t>
  </si>
  <si>
    <t>3015280</t>
  </si>
  <si>
    <t>3010356</t>
  </si>
  <si>
    <t>321</t>
  </si>
  <si>
    <t>Обеспечение протезно- ортопедическими изделиями  тружеников тыла и граждан, не имеющих группу инвалидности</t>
  </si>
  <si>
    <t>3010355</t>
  </si>
  <si>
    <t xml:space="preserve">Обеспечение техническими средствами реабилитации, протезами (кроме зубных) и протезно- ортопедическими изделиями инвалидов и отдельных категорий граждан из числа ветеранов                                                                                                                                                                                </t>
  </si>
  <si>
    <t>3015130</t>
  </si>
  <si>
    <t>Оказание отдельным категориям граждан государственной социальной помощи  в части предоставления путевок и бесплатного проезда на междугородном транспорте к месту лечения и обратно, при наличии медицинских показаний, на санаторно- курортное лечение</t>
  </si>
  <si>
    <t>3015194</t>
  </si>
  <si>
    <t>3010408-3010412
3010414-3010418
3010665</t>
  </si>
  <si>
    <t>30200000000</t>
  </si>
  <si>
    <t xml:space="preserve">Предоставление государственной социальной помощи  </t>
  </si>
  <si>
    <t>3020100000</t>
  </si>
  <si>
    <t>320,
310,
240</t>
  </si>
  <si>
    <t>3020103620, 
3020362</t>
  </si>
  <si>
    <t>320, 323</t>
  </si>
  <si>
    <t xml:space="preserve">ежемесячное пособие на ребенка </t>
  </si>
  <si>
    <t>3020103710, 
3020371</t>
  </si>
  <si>
    <t>3020103590, 
3020359</t>
  </si>
  <si>
    <t>3020153810, 
3025381</t>
  </si>
  <si>
    <t>240,310, 244,313</t>
  </si>
  <si>
    <t>3020153850, 
3025385</t>
  </si>
  <si>
    <t>240, 310, 244, 313</t>
  </si>
  <si>
    <t>3020153860, 
3025386</t>
  </si>
  <si>
    <t>310, 244, 313</t>
  </si>
  <si>
    <t>3020153870, 
3025387</t>
  </si>
  <si>
    <t>3020105480, 
3020548</t>
  </si>
  <si>
    <t>3020152700, 
3025270</t>
  </si>
  <si>
    <t>3020103540, 
3020354</t>
  </si>
  <si>
    <t>320, 321</t>
  </si>
  <si>
    <t>3020200000</t>
  </si>
  <si>
    <t>310</t>
  </si>
  <si>
    <t>3020203600, 
3020360</t>
  </si>
  <si>
    <t>3020205710</t>
  </si>
  <si>
    <t>3020300000</t>
  </si>
  <si>
    <t>621</t>
  </si>
  <si>
    <t>3020306770, 
3020203</t>
  </si>
  <si>
    <t>3020400000</t>
  </si>
  <si>
    <t xml:space="preserve">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учреждений                  </t>
  </si>
  <si>
    <t>3020459400, 
3025940</t>
  </si>
  <si>
    <t>240, 244</t>
  </si>
  <si>
    <t>3020403990, 
3020399</t>
  </si>
  <si>
    <t>240, 245</t>
  </si>
  <si>
    <t>3020600000, 
3020505</t>
  </si>
  <si>
    <t>3020605050,
3020505</t>
  </si>
  <si>
    <t>3020605050,
3020506</t>
  </si>
  <si>
    <t>3020605050</t>
  </si>
  <si>
    <t>240, 320</t>
  </si>
  <si>
    <t>3020604340</t>
  </si>
  <si>
    <t>3020604460</t>
  </si>
  <si>
    <t>3020700000</t>
  </si>
  <si>
    <t>3020703780</t>
  </si>
  <si>
    <t>3020703790</t>
  </si>
  <si>
    <t>3020703800</t>
  </si>
  <si>
    <t>3020703870</t>
  </si>
  <si>
    <t>3020062
3020064</t>
  </si>
  <si>
    <t>Финансовое обеспечение расходных обязательств муниципальных образований, возникающих при выполнении государственных полномочий, мероприятий по укреплению и развитию института семьи</t>
  </si>
  <si>
    <t>Предоставление мер социальной поддержки многодетным семьям, учет (регистрация) многодетных семей</t>
  </si>
  <si>
    <t>3020434</t>
  </si>
  <si>
    <t>Предоставление субсидии многодетным признаным нуждающимися в улучшении жилищных условий, на строительство, реконструкцию, капитальный ремонт и приобретение жилых помещений</t>
  </si>
  <si>
    <t>3020446</t>
  </si>
  <si>
    <t>Система мероприятий по устройству детей-сирот и детей оставшихся без попечения родителей на воспитание в семьи</t>
  </si>
  <si>
    <t>3025260, 3020633, 3020376, 3020441, 3020442</t>
  </si>
  <si>
    <t>320, 530</t>
  </si>
  <si>
    <t>Выплата единовременного денежного пособия при всех формах устройства детей, лишённых родительского попечения, в семью</t>
  </si>
  <si>
    <t>3025260</t>
  </si>
  <si>
    <t>3020633</t>
  </si>
  <si>
    <t>3020376</t>
  </si>
  <si>
    <t>3020441</t>
  </si>
  <si>
    <t>3020442</t>
  </si>
  <si>
    <t>3020425, 3020426, 3020571, 3020435</t>
  </si>
  <si>
    <t>Материальное обеспечение приёмной семьи</t>
  </si>
  <si>
    <t>3020425</t>
  </si>
  <si>
    <t>3020426</t>
  </si>
  <si>
    <t>3020571</t>
  </si>
  <si>
    <t>3020435</t>
  </si>
  <si>
    <t xml:space="preserve">Министерство здравоохранения Удмуртской Республики
</t>
  </si>
  <si>
    <t>3030100000</t>
  </si>
  <si>
    <t>3030106770</t>
  </si>
  <si>
    <t>3030200000</t>
  </si>
  <si>
    <t>3030206770</t>
  </si>
  <si>
    <t>3030300000</t>
  </si>
  <si>
    <t>110, 240,
320, 611,
621, 850</t>
  </si>
  <si>
    <t>3030306770</t>
  </si>
  <si>
    <t>3030400000</t>
  </si>
  <si>
    <t>3030500000</t>
  </si>
  <si>
    <t>3030503820</t>
  </si>
  <si>
    <t>3030600000</t>
  </si>
  <si>
    <t>612,
240
465</t>
  </si>
  <si>
    <t>3030600680</t>
  </si>
  <si>
    <t>3030605800</t>
  </si>
  <si>
    <t>240, 612</t>
  </si>
  <si>
    <t>3030700000</t>
  </si>
  <si>
    <t>3030704900</t>
  </si>
  <si>
    <t>240, 320, 612</t>
  </si>
  <si>
    <t>3030805170
3030517</t>
  </si>
  <si>
    <t>240,
612</t>
  </si>
  <si>
    <t>3030850270
3035027</t>
  </si>
  <si>
    <t>612,
622</t>
  </si>
  <si>
    <t xml:space="preserve">Министерство культуры и туризма Удмуртской Республики
</t>
  </si>
  <si>
    <t>3030805170</t>
  </si>
  <si>
    <t xml:space="preserve">3030850270
</t>
  </si>
  <si>
    <t>3030900000</t>
  </si>
  <si>
    <t>3030905110</t>
  </si>
  <si>
    <t xml:space="preserve">3031000000,
3035209
</t>
  </si>
  <si>
    <t>3035209</t>
  </si>
  <si>
    <t>3031005140,
3030514</t>
  </si>
  <si>
    <t>3031100000</t>
  </si>
  <si>
    <t>3031107390</t>
  </si>
  <si>
    <t xml:space="preserve">3030388,
3030389,
</t>
  </si>
  <si>
    <t>110, 240,
320, 621, 850</t>
  </si>
  <si>
    <t>3030388</t>
  </si>
  <si>
    <t>111, 112, 242, 243, 244, 321, 852</t>
  </si>
  <si>
    <t>3030389</t>
  </si>
  <si>
    <t>111, 112, 242, 244, 621, 852</t>
  </si>
  <si>
    <t>3030345-3030348,
3030390,
3030568,
3030625,
3030626</t>
  </si>
  <si>
    <t>110, 240,
320, 611, 621, 850</t>
  </si>
  <si>
    <t>3030345</t>
  </si>
  <si>
    <t>3030346</t>
  </si>
  <si>
    <t>3030347</t>
  </si>
  <si>
    <t>предоставление образовательных услуг: начальное профессиональное образование, среднее профессиональное образование</t>
  </si>
  <si>
    <t>3030348</t>
  </si>
  <si>
    <t>3030390</t>
  </si>
  <si>
    <t>3030568</t>
  </si>
  <si>
    <t>3030625</t>
  </si>
  <si>
    <t>3030626</t>
  </si>
  <si>
    <t>3030062
3030064</t>
  </si>
  <si>
    <t>612,
851</t>
  </si>
  <si>
    <t>Денежные компенсационные выплаты за питание детям- сиротам и детям, оставшимся без попечения родителей</t>
  </si>
  <si>
    <t>3030378</t>
  </si>
  <si>
    <t>Денежные компенсационные выплаты по обеспечению детей- сирот одеждой, обувью детям- сиротам и детям, оставшимся без попечения родителей, в том числе выпускников</t>
  </si>
  <si>
    <t>3030379</t>
  </si>
  <si>
    <t>Выплаты единовременного денежного пособия выпускникам образовательных учреждений из числа детей- сирот и детей, оставшихся без попечения родителей</t>
  </si>
  <si>
    <t>3030380</t>
  </si>
  <si>
    <t>Выплата стипендий учащимся учреждений начального и среднего профессионального образования</t>
  </si>
  <si>
    <t>3030381</t>
  </si>
  <si>
    <t>3030387</t>
  </si>
  <si>
    <t>3030382</t>
  </si>
  <si>
    <t>3030068</t>
  </si>
  <si>
    <t>Мероприятие по оказанию адресной социальной помощи неработающим пенсионерам, являющимся получателями трудовых пенсий по старости и по инвалидности</t>
  </si>
  <si>
    <t xml:space="preserve">Реализация мероприятий по улучшению положения и качества жизни пожилых людей </t>
  </si>
  <si>
    <t>3030490</t>
  </si>
  <si>
    <t xml:space="preserve"> 244, 321</t>
  </si>
  <si>
    <t>Мероприятия, направленные на укрепление социальной защищенности пожилых людей</t>
  </si>
  <si>
    <t xml:space="preserve">Приобретение устройств электронного экстренного вызова (тревожная кнопка) и организация работы системы экстренного вызова </t>
  </si>
  <si>
    <t>0730490</t>
  </si>
  <si>
    <t>Чествование ветеранов Великой Отечественной войны в связи с традиционно считающимися юбилейными днями рождения, начиная с 90-летия</t>
  </si>
  <si>
    <t xml:space="preserve">Оказание  материальной помощи  пенсионерам  в случае материального ущерба вследствие пожара и иных стихийных бедствий, на проведение ремонта жилых помещений, установку приборов учета топливно-энергетических ресурсов, на проведение зубопротезирования, дорогостоящего лечения
</t>
  </si>
  <si>
    <t>Оказание единовременной помощи отдельным категориям граждан на газификацию жилых домов или жилых помещений в многоквартирном доме</t>
  </si>
  <si>
    <t>Оказание единовременной денежной выплаты  ветеранам Великой Отечественной войны 1941-1945 годов</t>
  </si>
  <si>
    <t>Организация и проведение специализированных оздоровительных заездов  для ветеранов Великой Отечественной войны  и граждан пожилого возраста ("детей войны")</t>
  </si>
  <si>
    <t>Проведение мероприятий, посвященных Дню пожилых людей, Дню инвалидов, празднованию Дня Победы в Великой Отечественной войне 1941-1945 годов, в том числе участие делегации Удмуртской Республики, пожилых людей в памятно-мемориальных мероприятиях, проводимых в г. Москве и других населенных пунктах России. Проведение фестивалей, выставок творчества, организация льготной подписки и доставки газеты для пожилых людей</t>
  </si>
  <si>
    <t>3030517</t>
  </si>
  <si>
    <t>3035027</t>
  </si>
  <si>
    <t xml:space="preserve">Мероприятия по обеспечению пожарной безопасность в органах и учреждениях социальной защиты населения </t>
  </si>
  <si>
    <t>3030511</t>
  </si>
  <si>
    <t xml:space="preserve">243, 244 </t>
  </si>
  <si>
    <t>3030514</t>
  </si>
  <si>
    <t>3030580</t>
  </si>
  <si>
    <t>Создание условий для реализации государственной программы</t>
  </si>
  <si>
    <t>3040100000</t>
  </si>
  <si>
    <t xml:space="preserve">120,
240
</t>
  </si>
  <si>
    <t>3040104060</t>
  </si>
  <si>
    <t>3040200000</t>
  </si>
  <si>
    <t>120,
240,
850</t>
  </si>
  <si>
    <t>3040200030</t>
  </si>
  <si>
    <t>120, 240, 850</t>
  </si>
  <si>
    <t>3040300000</t>
  </si>
  <si>
    <t>3040300070</t>
  </si>
  <si>
    <t>3040400000</t>
  </si>
  <si>
    <t>612,
622,
850</t>
  </si>
  <si>
    <t>3040400620</t>
  </si>
  <si>
    <t>612, 622, 850</t>
  </si>
  <si>
    <t>3040400640</t>
  </si>
  <si>
    <t>3040500000</t>
  </si>
  <si>
    <t>3040507560</t>
  </si>
  <si>
    <t>3040406</t>
  </si>
  <si>
    <t>122, 242, 243, 244, 612</t>
  </si>
  <si>
    <t>3040003</t>
  </si>
  <si>
    <t>121, 122, 242,244, 852,900</t>
  </si>
  <si>
    <t xml:space="preserve">Обеспечение текущей деятельности , руководство и управление в сфере установленных функций территориальных органов Министерства </t>
  </si>
  <si>
    <t>3040007</t>
  </si>
  <si>
    <t>121, 122, 242, 244, 852</t>
  </si>
  <si>
    <t>3040062
3040064</t>
  </si>
  <si>
    <t xml:space="preserve">Прогнозная (справочная) оценка ресурсного обеспечения реализации государственной программы за счет всех источников финансирования </t>
  </si>
  <si>
    <r>
      <t>__«Социальная  поддержка граждан»</t>
    </r>
    <r>
      <rPr>
        <b/>
        <i/>
        <u/>
        <sz val="11"/>
        <color theme="1"/>
        <rFont val="Times New Roman"/>
        <family val="1"/>
        <charset val="204"/>
      </rPr>
      <t>_____________</t>
    </r>
  </si>
  <si>
    <t>____________________________________________________________________________</t>
  </si>
  <si>
    <t>Наименование государственной программы, подпрограммы</t>
  </si>
  <si>
    <t>Источник финансирования</t>
  </si>
  <si>
    <t>Оценка расходов, тыс. рублей</t>
  </si>
  <si>
    <t xml:space="preserve">«Социальная поддержка граждан» </t>
  </si>
  <si>
    <t>Всего</t>
  </si>
  <si>
    <t>Бюджет Удмуртской Республики, в том числе:</t>
  </si>
  <si>
    <t>субвенции из федерального бюджета</t>
  </si>
  <si>
    <t>Субсидии и субвенции из федерального бюджета, планируемые к получению</t>
  </si>
  <si>
    <t>Территориальный фонд обязательного медицинского страхования Удмуртской Республики</t>
  </si>
  <si>
    <t>Бюджеты муниципальных образований в Удмуртской Республике</t>
  </si>
  <si>
    <t>Иные источники</t>
  </si>
  <si>
    <t xml:space="preserve">«Развитие мер социальной поддержки отдельных категорий граждан» </t>
  </si>
  <si>
    <t xml:space="preserve">«Реализация демографической и семейной политики, совершенствование социальной поддержки семей с детьми» </t>
  </si>
  <si>
    <t>«Модернизация и развитие социального обслуживания населения»</t>
  </si>
  <si>
    <t xml:space="preserve">«Создание условий для реализации государственной программы» </t>
  </si>
  <si>
    <t xml:space="preserve">Субсидии социально ориентированным некоммерческим организациям и иным некоммерческим организациям
</t>
  </si>
  <si>
    <t xml:space="preserve">Уплата налога
</t>
  </si>
  <si>
    <t xml:space="preserve">Мероприятия, направленные на обеспечение пожарной безопасности Минсоцполитики УР и подведомственных ему организаций
</t>
  </si>
  <si>
    <t xml:space="preserve">Обеспечение текущей деятельности организаций в сфере социальной защиты населения
</t>
  </si>
  <si>
    <t>иные межбюджетные трансферты из федерального бюджета</t>
  </si>
  <si>
    <t xml:space="preserve">Обеспечение текущей деятельности бюджетного профессионального образовательного учреждения «Сарапульский колледж для инвалидов»
</t>
  </si>
  <si>
    <t>«Приложение 5</t>
  </si>
  <si>
    <t>_______________».</t>
  </si>
  <si>
    <t>«Приложение 6</t>
  </si>
  <si>
    <t>_____________».</t>
  </si>
  <si>
    <t>530,
240,
320,                  612</t>
  </si>
  <si>
    <t>240,
622</t>
  </si>
  <si>
    <t>субсидии из федерального бюджета</t>
  </si>
  <si>
    <t>240, 320
612, 622</t>
  </si>
  <si>
    <t>Р1</t>
  </si>
  <si>
    <t>302Р100000</t>
  </si>
  <si>
    <t>Федеральный проект «Финансовая поддержка семей при рождении детей»</t>
  </si>
  <si>
    <t>313,               240,                 530</t>
  </si>
  <si>
    <t>03,                                      04</t>
  </si>
  <si>
    <t>Р3</t>
  </si>
  <si>
    <t>Федеральный проект «Старшее поколение»</t>
  </si>
  <si>
    <t>302Р300000</t>
  </si>
  <si>
    <t>03,                  06</t>
  </si>
  <si>
    <t xml:space="preserve">240,              622              </t>
  </si>
  <si>
    <t xml:space="preserve">Министерство строительства, жилищно-коммунального хозяйства и энергетики Удмуртской Республики
</t>
  </si>
  <si>
    <t>3020600000</t>
  </si>
  <si>
    <t>320,               240</t>
  </si>
  <si>
    <t>303Р300000</t>
  </si>
  <si>
    <t>к постановлению Правительства
Удмуртской Республики 
от «___»    _______2018 года № _____</t>
  </si>
  <si>
    <t xml:space="preserve">к государственной программе
Удмуртской Республики «Социальная поддержка граждан» </t>
  </si>
  <si>
    <t xml:space="preserve">Перечень и сведения о целевых показателях (индикаторах) государственной программы </t>
  </si>
  <si>
    <t>№ п/п</t>
  </si>
  <si>
    <t>Наименование целевого показателя (индикатора)</t>
  </si>
  <si>
    <t>Единица измерения</t>
  </si>
  <si>
    <t>Значения целевых показателей (индикаторов)</t>
  </si>
  <si>
    <t>2011 год</t>
  </si>
  <si>
    <t>2012 год</t>
  </si>
  <si>
    <t>2014 год</t>
  </si>
  <si>
    <t>2015 год</t>
  </si>
  <si>
    <t>2016 год</t>
  </si>
  <si>
    <t>2017 год</t>
  </si>
  <si>
    <t>2018 год</t>
  </si>
  <si>
    <t>2019 год</t>
  </si>
  <si>
    <t>2020 год</t>
  </si>
  <si>
    <t>2021 год</t>
  </si>
  <si>
    <t>отчет</t>
  </si>
  <si>
    <t>факт</t>
  </si>
  <si>
    <t>прогноз</t>
  </si>
  <si>
    <t xml:space="preserve">Государственная программа «Социальная поддержка граждан»  </t>
  </si>
  <si>
    <t>0</t>
  </si>
  <si>
    <t>%</t>
  </si>
  <si>
    <t>Соотношение средней заработной платы социальных работников государственных учреждений Удмуртской Республики и муниципальных учреждений в Удмуртской Республике со средней заработной платой в Удмуртской Республике</t>
  </si>
  <si>
    <t xml:space="preserve"> Доля вторых и последующих рождений от общей численности рождений в Удмуртской Республике
</t>
  </si>
  <si>
    <t xml:space="preserve">Подпрограмма 1 «Развитие мер социальной поддержки отдельных категорий граждан» </t>
  </si>
  <si>
    <t>Удельный вес малоимущих граждан, получающих меры социальной поддержки в соответствии с нормативными правовыми актами Российской Федерации и нормативными правовыми актами Удмуртской Республики, в общей численности малоимущих граждан в Удмуртской Республике, обратившихся за получением мер социальной поддержки</t>
  </si>
  <si>
    <t xml:space="preserve">Удельный вес граждан, получивших ежемесячную денежную компенсацию на оплату жилого помещения и коммунальных услуг (федеральные льготники)  в общей численности пенсионеров, проживающих на территории Удмуртской Республики </t>
  </si>
  <si>
    <t xml:space="preserve">Удельный вес граждан, получивших ежемесячную денежную компенсацию на оплату жилого помещения и коммунальных услуг (региональные  льготники)  в общей численности пенсионеров, проживающих на территории Удмуртской Республики </t>
  </si>
  <si>
    <t xml:space="preserve">Подпрограмма 2  «Реализация демографической и семейной политики, совершенствование социальной поддержки семей с детьми» </t>
  </si>
  <si>
    <t>Cуммарный коэффициент рождаемости</t>
  </si>
  <si>
    <t>единиц</t>
  </si>
  <si>
    <t>Удельный вес детей, находящихся в социально опасном положении, в общей численности детского населения Удмуртской Республики</t>
  </si>
  <si>
    <t xml:space="preserve">Подпрограмма 3  «Модернизация и развитие социального обслуживания населения» </t>
  </si>
  <si>
    <t>Обеспеченность услугами стационарных организаций социального обслуживания</t>
  </si>
  <si>
    <t>мест на 10 тыс. жителей</t>
  </si>
  <si>
    <t>Удельный вес детей-инвалидов, получивших социальные услуги в организациях социального обслуживания, в общей численности детей-инвалидов</t>
  </si>
  <si>
    <t>Удельный вес зданий стационарных организаций  социального обслуживания граждан пожилого возраста, инвалидов (взрослых и детей), лиц без определенного места жительства и занятий, требующих реконструкции, зданий, находящихся в аварийном состоянии, ветхих зданий, от общего количества зданий стационарных организаций социального обслуживания граждан пожилого возраста, инвалидов (взрослых и детей), лиц без определенного места жительства и занятий</t>
  </si>
  <si>
    <t>Количество пожилых людей, принявших участие в республиканских, городских и районных мероприятиях, посвященных Дню Победы, Международному дню пожилых людей, Международному дню инвалидов и иных мероприятиях</t>
  </si>
  <si>
    <t>тыс. человек</t>
  </si>
  <si>
    <t>-</t>
  </si>
  <si>
    <t xml:space="preserve">Удельный вес организаций социального обслуживания, основанных на иных формах собственности, в общем количестве организаций социального обслуживания всех форм собственности </t>
  </si>
  <si>
    <r>
      <t xml:space="preserve">Подпрограмма 4  </t>
    </r>
    <r>
      <rPr>
        <sz val="12"/>
        <rFont val="Times New Roman"/>
        <family val="1"/>
        <charset val="204"/>
      </rPr>
      <t>«</t>
    </r>
    <r>
      <rPr>
        <b/>
        <sz val="12"/>
        <rFont val="Times New Roman"/>
        <family val="1"/>
        <charset val="204"/>
      </rPr>
      <t xml:space="preserve">Создание условий для реализации государственной программы» </t>
    </r>
  </si>
  <si>
    <t>Доля государственных услуг и услуг, указанных в части 3 статьи 1 Федерального закона от 27 июля 2010 года №210-ФЗ «Об организации предоставления государственных и муниципальных услуг», представленных на основании заявлений и документов, поданых в электронной форме через федеральную государственную информационную систему «Единый портал государственных и муниципальных услуг (функций)» и (или) государственную информационную систему Удмуртской Республики «Портал государственных и муниципальных услуг (функций)», от общего количества предоставленных услуг</t>
  </si>
  <si>
    <t>Доля государственных услуг, предоставляемых по принципу «одного окна» в многофункциональных центрах предоставления государственных и муниципальных услуг, от числа государственных услуг, включенных в перечень государственных услуг, утвержденный постановлением Правительства Удмуртской Республики от 4 марта 2013 года №97</t>
  </si>
  <si>
    <t>Доля заявителей, удовлетворенных качеством предоставления государственных услуг исполнительным органом государственной власти Удмуртской Республики, от общего числа заявителей, обратившихся за получением государственных услуг</t>
  </si>
  <si>
    <t>Время ожидания в очереди при обращении заявителя в исполнительный орган государственной власти Удмуртской Республики для получения государственных услуг</t>
  </si>
  <si>
    <t>минут</t>
  </si>
  <si>
    <t>не более 15</t>
  </si>
  <si>
    <t>Коэффициент обновления основных фондов</t>
  </si>
  <si>
    <t>Прирост инвестиций в основной капитал без учета бюджетных средств</t>
  </si>
  <si>
    <t>%  от предыдущего года</t>
  </si>
  <si>
    <t>Уровень выполнения значений целевых показателей (индикаторов) государственной программы</t>
  </si>
  <si>
    <t>не менее 90,0</t>
  </si>
  <si>
    <t>Количество проведенных конкурсов на право заключения соглашений государственно-частного партнерства и концессионных соглашений, в том числе заключенных соглашений государственно-частного партнерства и концессионных соглашений с участием Удмуртской Республики</t>
  </si>
  <si>
    <t>ед.</t>
  </si>
  <si>
    <t>к постановлению Правительства
Удмуртской Республики 
от  «___»    ___________ 2018 года № ______</t>
  </si>
  <si>
    <t>Перечень основных мероприятий государственной программы</t>
  </si>
  <si>
    <t>Наименование подпрограммы, основного мероприятия, мероприятия</t>
  </si>
  <si>
    <t>Ответственный исполнитель, соисполнители подпрограммы, основного мероприятия, мероприятия</t>
  </si>
  <si>
    <t>Срок выполнения</t>
  </si>
  <si>
    <t>Ожидаемый непосредственный результат</t>
  </si>
  <si>
    <t>Взаимосвязь с целевыми показателями (индикаторами)</t>
  </si>
  <si>
    <t xml:space="preserve">30.01.1.
30.01.2.
30.01.3.
</t>
  </si>
  <si>
    <t>Соцподдержка в виде денежной выплаты предоставляется ежемесячно 1,0 тыс. реабилитированным лицам и лицам, признанным пострадавшими от политических репрессий</t>
  </si>
  <si>
    <t xml:space="preserve">Материальная поддержка учащихся Сарапульского колледжа для инвалидов </t>
  </si>
  <si>
    <t>20</t>
  </si>
  <si>
    <t>Расходы на осуществление ежемесячной денежной компенсации отдельным категориям граждан оплаты взноса на капитальный ремонт общего имущества в многоквартивном доме</t>
  </si>
  <si>
    <t xml:space="preserve">Обеспечение техническими средствами реабилитации, включая изготовление и ремонт протезно-ортопедических изделий </t>
  </si>
  <si>
    <t>2015-2016 гг.</t>
  </si>
  <si>
    <t>Ежегодно техническими средствами реабилитации  и протезно-ортопедическими изделиями обеспечивается около 20,0 тыс. инвалидов и отдельных категорий граждан из числа ветеранов</t>
  </si>
  <si>
    <t>Ежегодно путевки на санаторно-курортное лечение обеспечивается около 1,0 тыс.человек (инвалидов и отдельных категорий граждан) и более 1,0 тыс. чел. обеспечивается проездом на междугородном транспорте к месту лечения и обратно</t>
  </si>
  <si>
    <t xml:space="preserve">Повышение участия некоммерческих общественных организаций в реализации социальной политики государства, развитие некоммерческого партнерства
</t>
  </si>
  <si>
    <t>Осуществление социальной подддержки и защиты инвалидов и (или) ветеранов, проживающих на территории Удмуртской Республики</t>
  </si>
  <si>
    <t>2016-2020 гг.</t>
  </si>
  <si>
    <t xml:space="preserve">30.01.2.
30.01.3.
</t>
  </si>
  <si>
    <t>социальное пособие  на погребение</t>
  </si>
  <si>
    <t xml:space="preserve"> Государственное пособие на погребение  (6068,87 рублей в случаях установленных Федеральным законом от 12.01.1996 № 8-ФЗ) предоставлена 2150 чел. 
</t>
  </si>
  <si>
    <t>Производится выплата ежемесячного денежного вознаграждения 24 гражданам, удостоенным звания «Почетный гражданин Удмуртской Республики», и 7 вдовам почетных граждан</t>
  </si>
  <si>
    <t xml:space="preserve">60 инвалидов боевых действий, проходивших военную службу по призыву, получили ежегодную денежную выплату в размере от 7,4 тыс. рублей до 14,8 тыс. рублей в год в зависимости от группы инвалидности </t>
  </si>
  <si>
    <t>Дополнительное пенсионное обеспечение предоставлено 769 гражданам ежегодно</t>
  </si>
  <si>
    <t xml:space="preserve">Ежемесячное пособие при возникновении поствакцинальных осложнений выплачено 9 гражданам в год       </t>
  </si>
  <si>
    <t>42 инвалида получили компенсацию страховых премий по договарам ОСАГО.</t>
  </si>
  <si>
    <t xml:space="preserve">Государственную социальную помощь, в том числе на основании социального контракта, получили 2362 малоимущие семьи, а также граждане, находящиеся в трудной жизненной ситуации  </t>
  </si>
  <si>
    <t>Государственная социальная помощь</t>
  </si>
  <si>
    <t>Обеспечение протезно - ортопедическими изделиями  тружеников тыла и граждан, не имеющих группы инвалидности</t>
  </si>
  <si>
    <t>Обеспечено протезно - ортопедическими изделиями  1114 тружеников тыла и граждан, не имеющих группы инвалидности</t>
  </si>
  <si>
    <t xml:space="preserve">Обеспечение техническими средствами реабилитации, протезами (кроме зубных) и протезно - ортопедическими изделиями инвалидов и отдельных категорий граждан из числа ветеранов                                                                                                                                                                                </t>
  </si>
  <si>
    <t xml:space="preserve">В 2015 году обеспечено 35 257 заявлений граждан (инвалидов и отдельных категорий граждан из числа ветеранов). </t>
  </si>
  <si>
    <t>Оказание отдельным категориям граждан государственной социальной помощи  в части предоставления путевок и бесплатного проезда на междугородном транспорте к месту лечения и обратно, при наличии медицинских показаний, на санаторно - курортное лечение</t>
  </si>
  <si>
    <t>Выдано 1269 путевок на санаторно-курортное лечение, 1435 чел. охвачено бесплатным проездом на междугородном транспорте к месту лечения и обратно, при наличии медицинских показаний, на санаторно - курортное лечение</t>
  </si>
  <si>
    <t>Проведение конкурса на право получения из бюджета Удмуртской республики субсидии отдельным общественным организациям и иным некоммерческим объединениям на реализацию функций в области социальной политики</t>
  </si>
  <si>
    <t xml:space="preserve">Минсоцполитики УР;
Министерство здравоохранения Удмуртской Республики;
Агентство печати и массовых коммуникаций Удмуртской Республики;
органы местного самоуправления в Удмуртской Республике (по согласованию)
</t>
  </si>
  <si>
    <t>Предоставление государственной социальной помощи</t>
  </si>
  <si>
    <t>Предоставление государственной социальной помощи в полном объеме</t>
  </si>
  <si>
    <t xml:space="preserve">Единовременное денежное вознаграждение в год выплачивается 34 женщинам-матерям, награжденным знаком отличия «Материнская слава» </t>
  </si>
  <si>
    <t>В рамках государственного задания оказываются государтсвенные услуги: организация отдыха детей и молодежи</t>
  </si>
  <si>
    <t>Удовлетворение  потребности в перевозке несовершеннолетних, самовольно покинувших свой дом, на 100%</t>
  </si>
  <si>
    <t>30.02.2.</t>
  </si>
  <si>
    <t xml:space="preserve">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организациях            </t>
  </si>
  <si>
    <t>Повышение качества жизни семей с детьми,  увеличение количества многодетных семей в Удмуртской Республике, всестороннее укрепление института семьи как формы гармоничной жизнедеятельности личности</t>
  </si>
  <si>
    <t>30.00.3.
30.02.1.
30.02.2.</t>
  </si>
  <si>
    <t>Материальное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и воспитывающихся в подведомственных организациях</t>
  </si>
  <si>
    <t>Материальное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Сарапульском колледже для инвалидов</t>
  </si>
  <si>
    <t>Выплата пособия на приобретение учебной литературы и письменных принадлежностей</t>
  </si>
  <si>
    <t>Минсоцполитики УР; Министерство по физической культуре, спорту и молодежной политике Удмуртской Республики
Агентство печати и массовых коммуникаций Удмуртской Республики;
Министерство образования и науки Удмуртской Республики; Министерство здравоохранения Удмуртской Республики; Министерство культуры и туризма Удмуртской Республики; Министерство труда и миграционной политики Удмуртской Республики</t>
  </si>
  <si>
    <t>В рамках государственного задания оказываются государственные услуги: предоставление социального обслуживания в стационарной форме</t>
  </si>
  <si>
    <t>30.00.1.
30.00.2.
30.03.1.</t>
  </si>
  <si>
    <t>В рамках государственного задания оказываются государтсвенные услуги: в стационарной форме</t>
  </si>
  <si>
    <t>30.00.1
30.00.2</t>
  </si>
  <si>
    <t>В рамках государственного задания оказываются услуги: реализация основных профессиональных образовательных программ среднего профессионального образования, программ профессионального обучения.</t>
  </si>
  <si>
    <t>30.00.1
30.00.2
30.03.2.</t>
  </si>
  <si>
    <t xml:space="preserve">  В реабилитационных центрах для граждан пожилого возраста и нвалидов, для детей и подростков с ограниченными возможностями оказываются государственные услуги по предоставлению социального обслуживания в стационарной и полустационарной форме. В комплексных центрах социального обслуживания населения оказываются государственные услуги по предоставлению социального обслуживания в стационарной, полустационарной форме, на дому, срочные услуги. В центре психолого-педагогической помощи населению оказываются  государственные услуги в стационарной форме, полустационарной форме и проводятся работы по  консультативной, психологической, педагогической, юридической, социальной и иной помощи лицам, усыновившим (удочерившим) или принявшим под опеку (попечительство) ребенка.</t>
  </si>
  <si>
    <t>Привлечение кадрового потенциала в сельские населенные пункты, рабочие поселки и поселки городского типа путем выплаты денежной компенсации расходов по оплате жилых помещений и коммунальных услуг (отопление, освещение) работникам государственных учреждений Удмуртской Республики</t>
  </si>
  <si>
    <t>Обеспечение укрепления материально-технической базы и улучшения условий проживания в стационарных и полустационарных организациях социального обслуживания Удмуртской Республики в соответствии с санитарно-гигиеническими нормами и требованиями пожарной безопасности/ Безаварийная работа систем тепло и водоснабжения в зимний период. Уменьшение издержек и энергосбережение ресурсов</t>
  </si>
  <si>
    <t>30.03.3.</t>
  </si>
  <si>
    <t>Проведение мероприятий, посвященных Дню пожилых людей, Дню инвалидов, празднование Дня Победы в Великой Отечественной войне 1941-1945 годов, Дню Героев Отечества. Предоставление адресной финансовой помощи. Проведениереспубликанского  конкурса по компьютерной грамотности среди пожилых людей. Проведение фестивалей, выставок творчества, конкурсов. Разработка и издание информационно - аналитических сборников, справочных изданий, буклетов по вопросам социальной защиты пожилых людей.</t>
  </si>
  <si>
    <t>30.03.4.</t>
  </si>
  <si>
    <t>Проведение мероприятий, посвященных Дню пожилых людей, Дню инвалидов, празднование Дня Победы в Великой Отечественной войне 1941-1945 годов, Дню Героев Отечества. Предоставление адресной финансовой помощи. Проведение республиканского  конкурса по компьютерной грамотности среди пожилых людей. Проведение фестивалей, выставок творчества, конкурсов. Разработка и издание информационно - аналитических сборников, справочных изданий, буклетов по вопросам социальной защиты пожилых людей.</t>
  </si>
  <si>
    <t>Реализация данного мероприятия позволит адаптировать учреждения социальной защиты населения  с учетом доступности для инвалидов и иных маломобильных групп населения. Учреждения социальной защиты населения будут оснащены поручнями, подъемными устройствами, средствами ориентации для инвалидов по зрению и слуху, оборудованы элементами доступности подъездные пути для своевременного и полного предоставления информации в доступном формате о правах, обязательствах, а также об объеме и виде реабилитационных мероприятий,  предоставляемых инвалидам</t>
  </si>
  <si>
    <t>Мероприятия, направленные на обеспечение пожарной безопасности Минсоцполитики УР, его территориальных органов и подведомственных ему организаций</t>
  </si>
  <si>
    <t xml:space="preserve">Организация надежной системы по обеспечению противопожарной защиты зданий и помещений учреждений социальной защиты населения; снижение рисков возникновения пожаров, аварийных      ситуаций, травматизма и гибели людей, предотвращение материального ущерба. Приведение зданий и сооружений к действующим требованиям  пожарной безопасности </t>
  </si>
  <si>
    <t>Привлечение субсидий Пенсионного фонда Российской Федерации на софинансирование расходных обязательств бюджета Удмуртской Республики по реализации социальных программ Удмуртской Республики, связанных с укреплением материально-технической базы организаций социального обслуживания населения, и  обучение компьютерной грамотности неработающих пенсионеров за счёт субсидии Пенсионного фонда Российской Федерации  и средств бюджета Удмуртской Республики</t>
  </si>
  <si>
    <t>Реализация 442-ФЗ - развития рынка  конкурентноспособных поставщиков социальных услуг . Компенсация предусмотрена Федеральным законом в качестве меры поддержки поставщиков социальных услуг, включенных в реестр поставщиков социальных услуг субъекта Российской Федерации, предоставляющих гражданам социальные услуги в соответствии с индивидуальными программами, но не участвующих в выполнении государственного задания (заказа), то есть не являющихся государственными организациями.</t>
  </si>
  <si>
    <t xml:space="preserve">30.03.5
30.03.6
</t>
  </si>
  <si>
    <t xml:space="preserve">Создание условий для реализации государственной программы </t>
  </si>
  <si>
    <t xml:space="preserve">Повышение прозрачности деятельности Министерства,  территориальных органов и подведомственных организаций, обеспечение публичности деятельности Министерства, в том числе размещение информации в сети «Интернет». </t>
  </si>
  <si>
    <t>30.04.1.
30.04.2.</t>
  </si>
  <si>
    <t>Обеспечение реализации государственной программы - организация и совершенствование работы с гражданами по предоставлению мер социальной поддержки, повышению адресности, внедрение единой автоматизированной системы учета предоставляемых выплат, компенсаций, пособий,предоставление государственных услуг населению</t>
  </si>
  <si>
    <t xml:space="preserve">30.04.1.
30.04.2.
</t>
  </si>
  <si>
    <t xml:space="preserve">Создание условий для реализации полномочий Министерства. Организация реализации мероприятий государственных, республиканских, ведомственных целевых программ. Повышение эффективности распределения бюджетных средств. Повышение уровня качества финансового менеджмента, повышение уровня бюджетной дисциплины, бюджетного планирования, управления бюджетными расходами 
</t>
  </si>
  <si>
    <t>Выполнение обязательств по уплате налога на имущество и земельного налога</t>
  </si>
  <si>
    <t xml:space="preserve">Выполнение обязательств по уплате налога на имущество </t>
  </si>
  <si>
    <t>Выполнение обязательств  по уплате земельного налога</t>
  </si>
  <si>
    <t>Создание условий для реализации полномочий в части предоставления мер социальной поддержки многодетным семьям</t>
  </si>
  <si>
    <t>Организация предоставления государственных услуг  в соответствии с постановлением Правительства Удмуртской Республики от 7 февраля 2011 года № 24 «О перечне государственных услуг, предоставляемых исполнительными органами государственной власти Удмуртской Республики»</t>
  </si>
  <si>
    <t>Государственные услуги оказываются в соответствии с административными регламентами по предоставлению государственных услуг</t>
  </si>
  <si>
    <t>Расходы за счет доходов от платных услуг, оказываемых государственными казенными учреждениями</t>
  </si>
  <si>
    <t>Возмещение эксплуатационных расходов казенных учреждений</t>
  </si>
  <si>
    <t>Организация опроса на официальном сайте министерства по уровню удовлетворенности качеством предоставления государственных услуг</t>
  </si>
  <si>
    <t>Повышение удовлетворенности удовлетворенных качеством предоставления государственных услуг</t>
  </si>
  <si>
    <t>30.04.4</t>
  </si>
  <si>
    <t>Разработка административных регламентов, предусматривающих время ожидания в очереди при обращении заявителя в исполнительный орган государственной власти Удмуртской Республики для получения государственных услуг - не более 15 минут</t>
  </si>
  <si>
    <t>Уменьшение времени ожидания при получении государствнной услуги</t>
  </si>
  <si>
    <t>30.04.5</t>
  </si>
  <si>
    <t>Повышение прозрачности деятельности Министерства,  территориальных органов и подведомственных учреждений, обеспечение публичности деятельности Министерства, в том числе размещение информации в сети «Интернет». Реализация централизованных мероприятий, в т.ч. публикация нормативных-правовых актов, информации о деятельности Министерства, аттестация рабочих мест, лицензирование деятельности учреждений. Обеспечение деятельности программного комплекса адресного предоставления государственного социального обеспечения</t>
  </si>
  <si>
    <t xml:space="preserve">30.04.1
30.04.2
</t>
  </si>
  <si>
    <t xml:space="preserve">Обеспечение текущей деятельности, руководство и управление в сфере установленных функций территориальных органов Министерства </t>
  </si>
  <si>
    <t>Выполнение обязательств Министерства и территориальных органов по уплате налога на имущество и земельного налога</t>
  </si>
  <si>
    <t>Заключение соглашения о взаимодействии с Уполномоченным многофункциональным центром в Удмуртской Республике</t>
  </si>
  <si>
    <t>Предоставление государственных услуг по принципу «одного окна»</t>
  </si>
  <si>
    <t>30.04.3</t>
  </si>
  <si>
    <t>* мероприятие реализуется при наличии бюджетных ассигнований, предусмотренных в бюджете Удмуртской Республики</t>
  </si>
  <si>
    <t>Приложение 3</t>
  </si>
  <si>
    <t>Оценка применения мер государственного регулирования в сфере реализации государственной программы</t>
  </si>
  <si>
    <t>Наименование меры государственного регулирования</t>
  </si>
  <si>
    <t>Краткое обоснование необходимости применения меры для достижения целей государственной цели</t>
  </si>
  <si>
    <t>Подпрограмма 1 «Развитие мер социальной поддержки отдельных категорий граждан»</t>
  </si>
  <si>
    <t>Расходные обязательства Удмуртской Республики</t>
  </si>
  <si>
    <t>Мера социальной поддержки граждан</t>
  </si>
  <si>
    <t>5</t>
  </si>
  <si>
    <t>6</t>
  </si>
  <si>
    <t>7</t>
  </si>
  <si>
    <t>8</t>
  </si>
  <si>
    <t>9</t>
  </si>
  <si>
    <t>Предоставление государственной социальной помощи гражданам</t>
  </si>
  <si>
    <t xml:space="preserve">Подпрограмма 2 «Реализация демографической и семейной политики, совершенствование социальной поддержки семей с детьми» </t>
  </si>
  <si>
    <t>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t>
  </si>
  <si>
    <t>Оказание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t>
  </si>
  <si>
    <t xml:space="preserve">Подпрограмма 3 «Модернизация и развитие социального обслуживания населения»  </t>
  </si>
  <si>
    <t>Привлечение кадрового потенциала в сельские населенные пункты, рабочие поселки и поселки городского типа</t>
  </si>
  <si>
    <t>_____________</t>
  </si>
  <si>
    <t>Приложение 4</t>
  </si>
  <si>
    <t>к постановлению Правительства
Удмуртской Республики 
от  «___»    _______ 2018 года № ___</t>
  </si>
  <si>
    <t xml:space="preserve">Прогноз сводных показателей государственных заданий на оказание государственных услуг, выполнение государственных работ государственными учреждениями Удмуртской Республики по государственной программе
</t>
  </si>
  <si>
    <t>Наименование государственной услуги (работы)</t>
  </si>
  <si>
    <t>Наименование показателя, характеризующего объем государственной услуги (работы)</t>
  </si>
  <si>
    <t>Единица измерения объема государственной услуги (работы)</t>
  </si>
  <si>
    <t>Наименование меры                                        государственного регулирования</t>
  </si>
  <si>
    <t>Реализация демографической и семейной политики, совершенствование социальной поддержки семей с детьми</t>
  </si>
  <si>
    <t>Организация деятельности специализированных (профильных) лагерей</t>
  </si>
  <si>
    <t>Численность семей, получивших социальные услуги</t>
  </si>
  <si>
    <t>Единица</t>
  </si>
  <si>
    <t>Предоставление социального обслуживания в стационарной форме включая оказание социально-бытовых услуг,социально-медицинских услуг,социально-психологических услуг,социально-педагогических услуг,социально-трудовых услуг, социально-правовых услуг, услуг в целях повышения коммуникативного потенциала получателей социальных услуг, имеющих ограничения жизнедеятельности,в том числе детей-инвалидов (дома -интернаты для престарелых и инвалидов, психоневрологические интернаты, детские дома-интернаты для умственно отсталых детей)</t>
  </si>
  <si>
    <t xml:space="preserve">Численность граждан, получивщих социальные услуги </t>
  </si>
  <si>
    <t>человек</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</si>
  <si>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</si>
  <si>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 xml:space="preserve">Количество человеко-часов* </t>
  </si>
  <si>
    <t>Человеко-час</t>
  </si>
  <si>
    <t>Реализация образовательных программ среднего профессионального образования - программ подготовки квалифицированных рабочих, служащих</t>
  </si>
  <si>
    <t>Численность обучающихся</t>
  </si>
  <si>
    <t>Человек</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</si>
  <si>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</si>
  <si>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Реализация образовательных программ среднего профессионального образования - программ подготовки специалистов среднего звена</t>
  </si>
  <si>
    <t>Организация мероприятий, направленных на профилактику асоциального и деструктивного поведения подростков и молодежи, поддержка детей и молодежи, находящейся в социально-опасном положении</t>
  </si>
  <si>
    <t xml:space="preserve">Количество мероприятий </t>
  </si>
  <si>
    <t>Штука</t>
  </si>
  <si>
    <t>Оказание консультативной, психологической, педагогической, юридической, социальной и иной помощи лицам, усыновившим (удочерившим) или принявшим под опеку (попечительство) ребенка</t>
  </si>
  <si>
    <t>Предоставление срочных социальных услуг</t>
  </si>
  <si>
    <t>Численность граждан, получивших социальные услуги</t>
  </si>
  <si>
    <t>Предоставление социального обслуживания в стационарной форме включая оказание социально-бытовых услуг,социально-медицинских услуг,социально-психологических услуг,социально-педагогических услуг,социально-трудовых услуг, социально-правовых услуг, услуг в целях повышения коммуникативного потенциала получателей социальных услуг, имеющих ограничения жизнедеятельности,в том числе детей-инвалидов (социально-реабилитиционные центры, реабилитационные центры для детей и подростков с ограниченными возможностями, комплексные центры социального обслуживания населения )</t>
  </si>
  <si>
    <t>Предоставление социального обслуживания в полустационарной форме включая оказание социально-бытовых услуг,социально-медицинских услуг,социально-психологических услуг,социально-педагогических услуг,социально-трудовых услуг, социально-правовых услугх, услуг в целях повышения коммуникативного потенциала получателей социальных услуг, имеющих ограничения жизнедеятельности, в том числе детей-инвалидов, срочных социальных услуг</t>
  </si>
  <si>
    <t>Предоставление социального обслуживания в форме на дому включая оказание социально-бытовых услуг,социально-медицинских услуг,социально-психологических услуг,социально-педагогических услуг,социально-трудовых услуг, социально-правовых услуг, услуг в целях повышения коммуникативного потенциала получателей социальных услуг, имеющих ограничения жизнедеятельност, в том числе детей-инвалидов, срочных социальных услуг</t>
  </si>
  <si>
    <t xml:space="preserve">Организация отдыха детей и молодежи </t>
  </si>
  <si>
    <t>Количество человек</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</si>
  <si>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по укрупненной группе направлений подготовки и специальностей (профессий) "13.00.00 ЭЛЕКТРО- И ТЕПЛОЭНЕРГЕТИКА"</t>
  </si>
  <si>
    <t>Среднегодовой контингент учащихся</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</si>
  <si>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по укрупненной группе направлений подготовки и специальностей (профессий) "11.00.00 ЭЛЕКТРОНИКА, РАДИОТЕХНИКА И СИСТЕМЫ СВЯЗИ"</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</si>
  <si>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по укрупненной группе направлений подготовки и специальностей (профессий) "38.00.00 Экономика и управление"</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</si>
  <si>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 на базе основного общего образования по укрупненной группе направлений подготовки и специальностей (профессий) "29.00.00 ТЕХНОЛОГИИ ЛЕГКОЙ ПРОМЫШЛЕННОСТИ"</t>
  </si>
  <si>
    <t>Административное обеспечение деятельности организации (Сбор и обработка статистической информации; Социальная защита населения )</t>
  </si>
  <si>
    <t xml:space="preserve">Количество отчетов, составленных по результатам работы </t>
  </si>
  <si>
    <t>штук</t>
  </si>
  <si>
    <t>Административное обеспечение деятельности организации (Информационно-аналитическое обеспечение; Социальная защита населения; )</t>
  </si>
  <si>
    <t>Административное обеспечение деятельности организации (Проведение мониторинга; Социальная защита населения; )</t>
  </si>
  <si>
    <t>Административное обеспечение деятельности организации (Проведение анализа; Социальная защита населения; )</t>
  </si>
  <si>
    <t>Оздоровление и отдых детей</t>
  </si>
  <si>
    <t>Количество детей, обеспеченных оздоровлением и отдыхом, из них: находящихся в трудной жизненной ситуации</t>
  </si>
  <si>
    <t>Социальное обслуживание в социально-реабилитационных центрах для несовершеннолетних</t>
  </si>
  <si>
    <t>Среднемесячное количество обслуживаемых всеми отделениями учреждения</t>
  </si>
  <si>
    <t>Социальное обслуживание в реабилитационных центрах для детей и подростков с ограниченными возможностями</t>
  </si>
  <si>
    <t>Количество обслуженных в реабилитационном центре для детей и подростков с ограниченными возможностями</t>
  </si>
  <si>
    <t>Стационарное социальное обслуживание в домах-интернатах для престарелых и инвалидов</t>
  </si>
  <si>
    <t>Количество обслуженных граждан пожилого возраста и инвалидов</t>
  </si>
  <si>
    <t>Стационарное социальное обслуживание в психоневрологических интернатах</t>
  </si>
  <si>
    <t>Стационарное социальное обслуживание в детских домах-интернатах для умственно отсталых детей</t>
  </si>
  <si>
    <t>Количество обслуженных детей-инвалидов и инвалидов</t>
  </si>
  <si>
    <t>Реализация основных профессиональных образовательных программ среднего профессионального образования-программ подготовки квалифицированных рабочих, служащих</t>
  </si>
  <si>
    <t>Количество обучающихся по основным профессиональным образовательным программам среднего профессионального образования - программам подготовки</t>
  </si>
  <si>
    <t>Количество обучающихся по основным профессиональным образовательным программам СПО - программам подготовки специалистов среднего звена</t>
  </si>
  <si>
    <t>Количество обучающихся по основным программа профессионального обучения - программам профессиональной подготовки по профессиям рабочих, должностям служащих</t>
  </si>
  <si>
    <t>Социальное обслуживание в социально-реабилитационных центрах для граждан пожилого возраста и инвалидов</t>
  </si>
  <si>
    <t>Социальное обслуживание в центрах социальной помощи семье и детям</t>
  </si>
  <si>
    <t xml:space="preserve">Количество граждан, обслуженных всеми отделениями центра социальной помощи семье и детям </t>
  </si>
  <si>
    <t>Социальное обслуживание в комплексных центрах социального обслуживания населения</t>
  </si>
  <si>
    <t>Ежемесячное плановое количество обслуженных граждан всеми структурными подразделениями</t>
  </si>
  <si>
    <t>План по количеству обслуженных граждан всеми структурными подразделениями</t>
  </si>
  <si>
    <t>2022 г.</t>
  </si>
  <si>
    <t>2023 г.</t>
  </si>
  <si>
    <t>2024 г.</t>
  </si>
  <si>
    <t>2022 год</t>
  </si>
  <si>
    <t>2023 год</t>
  </si>
  <si>
    <t>2024 год</t>
  </si>
  <si>
    <t>Бюджет Удмуртской Республики</t>
  </si>
  <si>
    <t>нет в гп</t>
  </si>
  <si>
    <t xml:space="preserve">Поособие на ребенка </t>
  </si>
  <si>
    <t>Пособие по беременности и родам безработным женщинам</t>
  </si>
  <si>
    <t>Ежемесячная денежная выплата, назначаемая в случае рождения третьего ребенка или последующих детей до достижения возраста трех лет</t>
  </si>
  <si>
    <t>Федеральный бюджет Бюджет Удмуртской Республики</t>
  </si>
  <si>
    <t>30201R0840</t>
  </si>
  <si>
    <t>244
313</t>
  </si>
  <si>
    <t>Расходы на осуществление ежемесячной выплаты в связи с рождением (усыновлением) первого ребенка</t>
  </si>
  <si>
    <t>Федеральный бюджет</t>
  </si>
  <si>
    <t>3020155730</t>
  </si>
  <si>
    <t>313 244</t>
  </si>
  <si>
    <t>Услуги по размещению и поддержке ресурсов в сети «Интернет»</t>
  </si>
  <si>
    <t>3040198710</t>
  </si>
  <si>
    <t xml:space="preserve">Субсидии социально-ориентированным некоммерческим организациям и иным некоммерческим организациям
</t>
  </si>
  <si>
    <t>Выполнение обязательств по уплате налога</t>
  </si>
  <si>
    <t>нет в 2019</t>
  </si>
  <si>
    <t>нет в 2018 и 2019</t>
  </si>
  <si>
    <t>Повышение качества жизни граждан пожилого возраста и инвалидов</t>
  </si>
  <si>
    <t>Приобретение автотранспорта в целях осуществления доставки лиц старше 65 лет, проживающих в сельской местности, в медицинские организации</t>
  </si>
  <si>
    <t>Приобретение не менее 21 автотранспортного средства для создания не менее 27 мобильных бригад (с учетом имеющегося автотранспорта)</t>
  </si>
  <si>
    <t>2015-2024 гг.</t>
  </si>
  <si>
    <t>2019 - 2024 г.</t>
  </si>
  <si>
    <t xml:space="preserve">Иные закупки товаров, работ и услуг для обеспечения государственных (муниципальных) нужд
</t>
  </si>
  <si>
    <t>не было в ГП</t>
  </si>
  <si>
    <t xml:space="preserve">        Субсидии автономным учреждениям на иные цели</t>
  </si>
  <si>
    <t>1002</t>
  </si>
  <si>
    <t>3030608640</t>
  </si>
  <si>
    <t>622</t>
  </si>
  <si>
    <t>Денежные средства на личные расходы детям-сиротам и детям, оставшимся без попечения родителей</t>
  </si>
  <si>
    <t>843</t>
  </si>
  <si>
    <t>2015-2016 гг.;                                                              2019-2024 гг.</t>
  </si>
  <si>
    <t>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</si>
  <si>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Ежемесячная денежная выплата нуждающимся в поддержке семьям при рождении в семье третьего и последующих детей</t>
  </si>
  <si>
    <t>Предоставление мер социальной поддержки многодетным семьям, предусмотренных законом Удмуртской Республики от 5 мая 2006 года № 13-РЗ «О мерах по социальной поддержке многодетных семей»</t>
  </si>
  <si>
    <t>Комплексная безопасность в отрасли социальной защиты населения</t>
  </si>
  <si>
    <t>2015-2018 гг.</t>
  </si>
  <si>
    <t>2019-2024 гг.</t>
  </si>
  <si>
    <t>2019 - 2024 гг.</t>
  </si>
  <si>
    <t>Пособие на ребенка</t>
  </si>
  <si>
    <t xml:space="preserve">Повышение качества жизни граждан пожилого возраста и инвалидов
</t>
  </si>
  <si>
    <t xml:space="preserve">Создание системы долговременного ухода за гражданами пожилого возраста и инвалидами
</t>
  </si>
  <si>
    <t xml:space="preserve">Повышение качества жизни граждан пожилого возраста и инвалидов, получающих социальные услуги, в результате разработки и реализации плана мероприятий ("дорожной карты") по созданию системы долговременного ухода за гражданами пожилого возраста и инвалидами, признанными нуждающимися в социальном обслуживании
</t>
  </si>
  <si>
    <t>Соцподдержка в виде денежной выплаты предоставляется ежемесячно 6,8 тыс.труженикам тыла</t>
  </si>
  <si>
    <t>Предоставление не менеее 134,7 тыс. ветеранам труда ежемесячных денежных компенсаций  расходов на оплату жилого помещения и коммунальных услуг</t>
  </si>
  <si>
    <t>Предоставление не менее 1,0 тыс. реабилитированным лицам и лицам, признанным пострадавшими от политических репрессий,  ежемесячных денежных компенсаций  расходов на оплату жилого помещения и коммунальных услуг</t>
  </si>
  <si>
    <t xml:space="preserve">Предоставление отдельным категориям граждан (федеральным льготникам) ежемесячных денежных компенсаций расходов на оплату жилого помещения и коммунальных услуг (не менее 131,0 тыс.чел.) 
</t>
  </si>
  <si>
    <t>Меры социальной поддержки получают ежегодно 4,4  тыс. граждан, награжденных знаком «Почетный донор»</t>
  </si>
  <si>
    <t xml:space="preserve">Оказание государственной социальной помощи не менее 4,5 тыс.  граждан, в том числе не  менее 200 семьям на основании социального контракта </t>
  </si>
  <si>
    <t>Единовременная денежная выплата супружеским парам, отмечающим 50-, 55-, 60-, 65-, 70-, 75-летие совместной жизни, предоставляется в размере 3448 рублей (более 1800 супружеских пар в год)</t>
  </si>
  <si>
    <t>Производится выплата ежемесячного денежного вознаграждения 38 гражданам, удостоенным звания «Почетный гражданин Удмуртской Республики»</t>
  </si>
  <si>
    <t>Дополнительное пенсионное обеспечение предоставляется более 929 гражданам</t>
  </si>
  <si>
    <t>Предоставление меры социальной поддержки отдельным категориям граждан, родившимся ранее 1 января 1946 года и не получающим меры социальной поддержки по другим законам.     
Осуществление ежемесячной денежной выплаты позволит улучшить качество жизни следующим категориям граждан: граждане, родившиеся по 31 декабря 1937 года включительно;                                                                                            граждане, родившиеся по 31 декабря 1945 года включительно,  имеющие страховой стаж не менее 45 лет для мужчин и 40 лет для женщин.</t>
  </si>
  <si>
    <t>Пенсионное обеспечение  38 (гарантия социальной защиты)  гражданам, работавшим в учреждениях противопожарной службы УР не менее 25 лет (достигшим возраста 50 лет) и в профессиональных аварийно-спасательных службах, профессиональных аварийно-спасательных формированиях УР не менее 15 лет (достигшим возраста 40 лет)</t>
  </si>
  <si>
    <t>Соцподдержка в виде пособий и компенсационных выплат 2,2 тыс. чел.</t>
  </si>
  <si>
    <t>50 инвалидам выплачиваются компенсации страховых премий по договорам ОСАГО по факту обращения</t>
  </si>
  <si>
    <t>Предоставление более 10,0 тыс. отдельным категориям граждан, достигшим возраста 70 лет и 80 лет,  ежемесячных денежных компенсаций  расходов на уплату взноса на капитальный ремонт общего имущества в многоквартирном доме</t>
  </si>
  <si>
    <t>Оплата в полном объеме почтовых и банковских услуг при осуществлении выплаты ежемесячной денежной компенсации отдельным категориям граждан оплаты взноса на капитальный ремонт общего имущества в многоквартирном доме</t>
  </si>
  <si>
    <t>Поддержка организации, в том числе на частичное возмещение затрат, связанных с осуществлением деятельности, направленной на решение социальных вопросов в соответствии с уставными целями</t>
  </si>
  <si>
    <t xml:space="preserve">Обеспечение одеждой и обувью к началу учебного года не менее 2500 детей из малоимущих семей </t>
  </si>
  <si>
    <t>Ежемесячным пособием на ребенка обеспечивается 95,0 тысяч детей</t>
  </si>
  <si>
    <t>Пособия по беременности и родам получат 3,6 тыс. безработных женщин в год</t>
  </si>
  <si>
    <t xml:space="preserve">За год пособие получат  11,0 тыс. человек. Единовременное пособие при рождении ребенка получают 3,6 тыс. человек в год 
</t>
  </si>
  <si>
    <t xml:space="preserve">Единовременное пособие беременной жене военнослужащего, проходящего военную службу по призыву, получат не менее 30 человек;
ежемесячное пособие на ребенка военнослужащего, проходящего военную службу по призыву, получат 85 человек.           </t>
  </si>
  <si>
    <t xml:space="preserve">Материальную помощь для направления детей-инвалидов на продолжительное лечение за пределы республики получат более 340 семей </t>
  </si>
  <si>
    <t xml:space="preserve">Единовременное денежное вознаграждение в год будет выплачено 35 семьям, награжденным знаком отличия «Родительская слава» </t>
  </si>
  <si>
    <t>Проведение мероприятий по популязации семейных ценностей</t>
  </si>
  <si>
    <t>Улучшение жилищных условий не менее 35 многодетных семей Удмуртской Республики</t>
  </si>
  <si>
    <t xml:space="preserve">Передоставление в полном объеме </t>
  </si>
  <si>
    <t>Повышение качества жизни семей с детьми,  увеличение количества многодетных семей в Удмуртской Республике, всестороннее укрепление института семьи как формы гармоничной жизнедеятельности личности. Увеличение количества многодетных семей. Улучшение жилищных условий не менее 35 многодетных семей Удмуртской Республики</t>
  </si>
  <si>
    <t>Минздрав</t>
  </si>
  <si>
    <t>2015-2017 гг.</t>
  </si>
  <si>
    <t>Подготовка учреждений социального обслуживания к отопительному сезону и исключение возможности влияния температурных факторов на их работу. Уменьшение издержек и энергосбережение ресурсов</t>
  </si>
  <si>
    <t xml:space="preserve">Оснащение учреждений социального обслуживания инженерно-техническими средствами и системами охраны
</t>
  </si>
  <si>
    <t>Рудина</t>
  </si>
  <si>
    <t>Антипов</t>
  </si>
  <si>
    <t>Абашева Е.А.</t>
  </si>
  <si>
    <t>Иутина</t>
  </si>
  <si>
    <t>Абашва Е.А.</t>
  </si>
  <si>
    <t>Мартынюк И.Н.</t>
  </si>
  <si>
    <t>Рубцов</t>
  </si>
  <si>
    <t xml:space="preserve">Микрюкова </t>
  </si>
  <si>
    <t>Урсегова</t>
  </si>
  <si>
    <t>2017-2019 гг.</t>
  </si>
  <si>
    <t>2015-2018</t>
  </si>
  <si>
    <t>2015 - 2018 гг.</t>
  </si>
  <si>
    <t>Обеспечение укрепления материально-технической базы и улучшения условий проживания в стационарных и полустационарных организациях социального обслуживания Удмуртской Республики в соответствии с санитарно-гигиеническими нормами</t>
  </si>
  <si>
    <t>1,72*</t>
  </si>
  <si>
    <t>Соцподдержка в виде денежной выплаты предоставляется ежемесячно134,7 тыс.ветеранам труда Удмуртской Республики</t>
  </si>
  <si>
    <t xml:space="preserve"> Государственное пособие на погребение  (в случаях, установленных Федеральным законом от 12.01.1996 № 8-ФЗ) предоставляется 2,3 тыс. чел. 
</t>
  </si>
  <si>
    <t>61 инвалид боевых действий, проходивших военную службу по призыву, получат ежегодную денежную выплату</t>
  </si>
  <si>
    <t xml:space="preserve">Ежемесячное пособие при возникновении поствакцинальных осложнений выплачивается ориентировочно 5 гражданам        </t>
  </si>
  <si>
    <t>Протезно-ортопедическую помощь получат 1110  граждан (труженики тыла и  отдельные категории граждан, нуждающиеся в протезно-ортопедической помощи)</t>
  </si>
  <si>
    <t>Ежемесячную денежную выплату в размере 5000,00 рублей получат 4,2 тыс. чел.</t>
  </si>
  <si>
    <t>Ежемесячную денежную выплату получат 3,6 тыс. человек</t>
  </si>
  <si>
    <t>Ежемесячную денежную выплату в размере получат 2,7 тыс. человек</t>
  </si>
  <si>
    <t xml:space="preserve">Ежемесячную денежную выплату из бюджета Удмуртско Республики  получат 4,2 тыс. человек, в рамках софинасирования - 3,6 тыс. человек </t>
  </si>
  <si>
    <t>Ежемесячную денежную выплату получат 2,7 тыс. человек</t>
  </si>
  <si>
    <t xml:space="preserve">Ежемесячное передоставление в полном объеме </t>
  </si>
  <si>
    <t xml:space="preserve">Осуществление мер по координации деятельности органов и учреждений системы профилактики безнадзорности и правонарушений несовершеннолетних
</t>
  </si>
  <si>
    <t>Коэффициент рождаемости в возрастной группе 25-29 лет (число родившихся на 1000 женщин соответствующего возраста)</t>
  </si>
  <si>
    <t>Коэффициент рождаемости в возрастной группе 30-34 лет (число родившихся на 1000 женщин соответствующего возраста)</t>
  </si>
  <si>
    <t>*</t>
  </si>
  <si>
    <t>- мужчин</t>
  </si>
  <si>
    <t>- женщин</t>
  </si>
  <si>
    <t>Ожидаемаяпродолжительность жизни граждан старше трудоспособного возраста</t>
  </si>
  <si>
    <t xml:space="preserve">Охват граждан старше трудоспособного возраста профилактическими осмотрами, включая диспансеризацию </t>
  </si>
  <si>
    <t>Доля лиц старше трудоспособного возраста, у которых выявлены заболевания и патологические состояния, находящихся под диспансерным наблюдением</t>
  </si>
  <si>
    <t>Охват граждан старше трудоспособного возраста из групп риска вакцинацией против пневмококковой инфекции</t>
  </si>
  <si>
    <t xml:space="preserve"> человек</t>
  </si>
  <si>
    <t>Численность граждан предпенсионного возраста, прошедших профессиональное обучение и дополнительное профессиональное образование (нарастающим итогом)</t>
  </si>
  <si>
    <t>не менее             543</t>
  </si>
  <si>
    <t>не менее            1086</t>
  </si>
  <si>
    <t>не менее           1629</t>
  </si>
  <si>
    <t>не менее           2172</t>
  </si>
  <si>
    <t>не менее         2715</t>
  </si>
  <si>
    <t>не менее          3258</t>
  </si>
  <si>
    <t>30.02.1           30.02.3                     30.02.4</t>
  </si>
  <si>
    <t>30.03.6                    30.03.7                   30.03.8                     30.03.9                   30.03.10               30.03.11               30.03.12</t>
  </si>
  <si>
    <r>
      <t xml:space="preserve">Наименование государственной программы                                                                                                            </t>
    </r>
    <r>
      <rPr>
        <b/>
        <i/>
        <u/>
        <sz val="10"/>
        <color theme="1"/>
        <rFont val="Times New Roman"/>
        <family val="1"/>
        <charset val="204"/>
      </rPr>
      <t xml:space="preserve">«Социальная  поддержка граждан» </t>
    </r>
  </si>
  <si>
    <t>Доля граждан, получивших социальные услуги в организациях социального обслуживания населения, в общем числе граждан, обратившихся за получением социальных услуг в организации социального обслуживания населения</t>
  </si>
  <si>
    <t>Доля средств бюджета Удмуртской Республики, выделяемых негосударственным организациям, в том числе социально ориентированным некоммерческим организациям, на предоставление услуг, в общем объеме средств бюджета Удмуртской Республики, выделяемых на предоставление социального обслуживания и социального сопровождения</t>
  </si>
  <si>
    <t>лет</t>
  </si>
  <si>
    <t xml:space="preserve">Число пациентов старше трудоспособного возраста, пролеченных на геронтологических койках </t>
  </si>
  <si>
    <t>Удельный вес проведенных Минсоцполитики УР контрольных мероприятий (ревизий и проверок) использования ресурсного обеспечения государственной программы к числу запланированных</t>
  </si>
  <si>
    <t>Доля заявителей, удовлетворенных качеством предоставления государственных услуг Минсоцполитики УР и его территориальными органами, от общего числа заявителей, обратившихся за получением государственных услуг</t>
  </si>
  <si>
    <t>Время ожидания в очереди при обращении заявителя в Минсоцполитики УР и его территориальные органы для получения государственных услуг</t>
  </si>
  <si>
    <t>Выплата пенсии по старости в соответствии с законами Удмуртской Республики «О пожарной безопасности в Удмуртской Республике» и «Об аварийно-спасательных службах и формированиях в Удмуртской Республике и гарантиях спасателям»</t>
  </si>
  <si>
    <t xml:space="preserve">Обеспечение текущей деятельности бюджетного образовательного учреждения  «Сарапульский колледж для инвалидов»
</t>
  </si>
  <si>
    <t xml:space="preserve">Реализация мероприятий в рамках регионального проекта "Разработка и реализация программы системной поддержки и повышения качества жизни граждан старшего поколения «Старшее поколение» национального проекта «Демография»
</t>
  </si>
  <si>
    <t>Минсоцполитики УР; Министерство по физической культуре, спорту и молодежной политике Удмуртской Республики
Агентство печати и массовых коммуникаций Удмуртской Республики;
Министерство образования и науки Удмуртской Республики; Министерство здравоохранения Удмуртской Республики; Министерство культуры и туризма Удмуртской Республики                     (до 2019 года); Министерство труда и миграционной политики Удмуртской Республики (до 2018 года)</t>
  </si>
  <si>
    <t xml:space="preserve">Не менее 95% лиц старше трудоспособного возраста из групп риска, проживающих в организациях социального обслуживания будут охвачены вакцинацией к концу 2024 года
</t>
  </si>
  <si>
    <t>Доля государственных услуг, предоставляемых по принципу «одного окна» в многофункциональных центрах предоставления государственных и муниципальных услуг, от числа государственных услуг, включенных в перечень государственных услуг, утвержденный постановлением Правительства Удмуртской Республики от 4 марта 2013 года № 97</t>
  </si>
  <si>
    <t>*Предварительные данные о фактически достигнутом значении целевых показателей будут представлены Росстатом не ранее 15 марта 2019 года.</t>
  </si>
</sst>
</file>

<file path=xl/styles.xml><?xml version="1.0" encoding="utf-8"?>
<styleSheet xmlns="http://schemas.openxmlformats.org/spreadsheetml/2006/main">
  <numFmts count="2">
    <numFmt numFmtId="164" formatCode="#,##0.0"/>
    <numFmt numFmtId="165" formatCode="0.0"/>
  </numFmts>
  <fonts count="34">
    <font>
      <sz val="11"/>
      <color theme="1"/>
      <name val="Calibri"/>
      <family val="2"/>
      <charset val="204"/>
      <scheme val="minor"/>
    </font>
    <font>
      <sz val="10"/>
      <color theme="1"/>
      <name val="Times New Roman"/>
      <family val="1"/>
      <charset val="204"/>
    </font>
    <font>
      <b/>
      <sz val="10"/>
      <color rgb="FF000000"/>
      <name val="Arial Cyr"/>
    </font>
    <font>
      <b/>
      <sz val="10"/>
      <color rgb="FF000000"/>
      <name val="Arial CYR"/>
      <family val="2"/>
    </font>
    <font>
      <sz val="10"/>
      <name val="Arial Cyr"/>
      <charset val="204"/>
    </font>
    <font>
      <sz val="11"/>
      <name val="Calibri"/>
      <family val="2"/>
      <charset val="204"/>
      <scheme val="minor"/>
    </font>
    <font>
      <sz val="11"/>
      <name val="Times New Roman"/>
      <family val="1"/>
      <charset val="204"/>
    </font>
    <font>
      <b/>
      <i/>
      <u/>
      <sz val="11"/>
      <color theme="1"/>
      <name val="Times New Roman"/>
      <family val="1"/>
      <charset val="204"/>
    </font>
    <font>
      <sz val="12"/>
      <color theme="1"/>
      <name val="Calibri"/>
      <family val="2"/>
      <charset val="204"/>
      <scheme val="minor"/>
    </font>
    <font>
      <sz val="11"/>
      <color theme="1"/>
      <name val="Times New Roman"/>
      <family val="1"/>
      <charset val="204"/>
    </font>
    <font>
      <b/>
      <sz val="11"/>
      <color theme="1"/>
      <name val="Times New Roman"/>
      <family val="1"/>
      <charset val="204"/>
    </font>
    <font>
      <i/>
      <sz val="8"/>
      <color theme="1"/>
      <name val="Times New Roman"/>
      <family val="1"/>
      <charset val="204"/>
    </font>
    <font>
      <sz val="10"/>
      <color rgb="FF000000"/>
      <name val="Times New Roman"/>
      <family val="1"/>
      <charset val="204"/>
    </font>
    <font>
      <b/>
      <sz val="14"/>
      <color theme="1"/>
      <name val="Times New Roman"/>
      <family val="1"/>
      <charset val="204"/>
    </font>
    <font>
      <sz val="12"/>
      <color theme="1"/>
      <name val="Times New Roman"/>
      <family val="1"/>
      <charset val="204"/>
    </font>
    <font>
      <sz val="10"/>
      <color theme="1"/>
      <name val="Calibri"/>
      <family val="2"/>
      <charset val="204"/>
      <scheme val="minor"/>
    </font>
    <font>
      <sz val="12"/>
      <name val="Times New Roman"/>
      <family val="1"/>
      <charset val="204"/>
    </font>
    <font>
      <sz val="12"/>
      <name val="Calibri"/>
      <family val="2"/>
      <charset val="204"/>
      <scheme val="minor"/>
    </font>
    <font>
      <b/>
      <sz val="12"/>
      <name val="Times New Roman"/>
      <family val="1"/>
      <charset val="204"/>
    </font>
    <font>
      <b/>
      <i/>
      <u/>
      <sz val="12"/>
      <name val="Times New Roman"/>
      <family val="1"/>
      <charset val="204"/>
    </font>
    <font>
      <i/>
      <sz val="12"/>
      <name val="Times New Roman"/>
      <family val="1"/>
      <charset val="204"/>
    </font>
    <font>
      <sz val="12"/>
      <color indexed="8"/>
      <name val="Times New Roman"/>
      <family val="1"/>
      <charset val="204"/>
    </font>
    <font>
      <sz val="10"/>
      <name val="Times New Roman"/>
      <family val="1"/>
      <charset val="204"/>
    </font>
    <font>
      <b/>
      <sz val="10"/>
      <name val="Times New Roman"/>
      <family val="1"/>
      <charset val="204"/>
    </font>
    <font>
      <b/>
      <sz val="11"/>
      <name val="Times New Roman"/>
      <family val="1"/>
      <charset val="204"/>
    </font>
    <font>
      <b/>
      <i/>
      <u/>
      <sz val="11"/>
      <name val="Times New Roman"/>
      <family val="1"/>
      <charset val="204"/>
    </font>
    <font>
      <i/>
      <sz val="8"/>
      <name val="Times New Roman"/>
      <family val="1"/>
      <charset val="204"/>
    </font>
    <font>
      <sz val="10"/>
      <color rgb="FF000000"/>
      <name val="Arial Cyr"/>
    </font>
    <font>
      <sz val="9"/>
      <color theme="1"/>
      <name val="Times New Roman"/>
      <family val="1"/>
      <charset val="204"/>
    </font>
    <font>
      <b/>
      <sz val="12"/>
      <name val="Calibri"/>
      <family val="2"/>
      <charset val="204"/>
      <scheme val="minor"/>
    </font>
    <font>
      <sz val="12"/>
      <color rgb="FF000000"/>
      <name val="Times New Roman"/>
      <family val="1"/>
      <charset val="204"/>
    </font>
    <font>
      <b/>
      <sz val="10"/>
      <color theme="1"/>
      <name val="Times New Roman"/>
      <family val="1"/>
      <charset val="204"/>
    </font>
    <font>
      <b/>
      <i/>
      <u/>
      <sz val="10"/>
      <color theme="1"/>
      <name val="Times New Roman"/>
      <family val="1"/>
      <charset val="204"/>
    </font>
    <font>
      <i/>
      <sz val="10"/>
      <color theme="1"/>
      <name val="Times New Roman"/>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rgb="FF92D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rgb="FF000000"/>
      </top>
      <bottom/>
      <diagonal/>
    </border>
    <border>
      <left style="thin">
        <color indexed="64"/>
      </left>
      <right/>
      <top/>
      <bottom/>
      <diagonal/>
    </border>
    <border>
      <left style="thin">
        <color rgb="FF000000"/>
      </left>
      <right style="thin">
        <color rgb="FF000000"/>
      </right>
      <top/>
      <bottom style="thin">
        <color rgb="FF000000"/>
      </bottom>
      <diagonal/>
    </border>
  </borders>
  <cellStyleXfs count="10">
    <xf numFmtId="0" fontId="0" fillId="0" borderId="0"/>
    <xf numFmtId="4" fontId="2" fillId="2" borderId="5">
      <alignment horizontal="right" vertical="top" shrinkToFit="1"/>
    </xf>
    <xf numFmtId="4" fontId="3" fillId="3" borderId="5">
      <alignment horizontal="right" vertical="top" shrinkToFit="1"/>
    </xf>
    <xf numFmtId="0" fontId="4" fillId="0" borderId="0"/>
    <xf numFmtId="0" fontId="2" fillId="0" borderId="5">
      <alignment vertical="top" wrapText="1"/>
    </xf>
    <xf numFmtId="1" fontId="27" fillId="0" borderId="5">
      <alignment horizontal="center" vertical="top" shrinkToFit="1"/>
    </xf>
    <xf numFmtId="0" fontId="2" fillId="0" borderId="5">
      <alignment vertical="top" wrapText="1"/>
    </xf>
    <xf numFmtId="0" fontId="2" fillId="0" borderId="5">
      <alignment vertical="top" wrapText="1"/>
    </xf>
    <xf numFmtId="1" fontId="27" fillId="0" borderId="5">
      <alignment horizontal="center" vertical="top" shrinkToFit="1"/>
    </xf>
    <xf numFmtId="0" fontId="27" fillId="0" borderId="0"/>
  </cellStyleXfs>
  <cellXfs count="496">
    <xf numFmtId="0" fontId="0" fillId="0" borderId="0" xfId="0"/>
    <xf numFmtId="0" fontId="0" fillId="0" borderId="0" xfId="0" applyFont="1" applyFill="1"/>
    <xf numFmtId="0" fontId="0" fillId="4" borderId="0" xfId="0" applyFont="1" applyFill="1"/>
    <xf numFmtId="0" fontId="0" fillId="4" borderId="0" xfId="0" applyFont="1" applyFill="1" applyAlignment="1">
      <alignment horizontal="left"/>
    </xf>
    <xf numFmtId="49" fontId="0" fillId="4" borderId="0" xfId="0" applyNumberFormat="1" applyFill="1"/>
    <xf numFmtId="0" fontId="0" fillId="4" borderId="0" xfId="0" applyFill="1"/>
    <xf numFmtId="4" fontId="9" fillId="4" borderId="0" xfId="0" applyNumberFormat="1" applyFont="1" applyFill="1"/>
    <xf numFmtId="0" fontId="13" fillId="4" borderId="0" xfId="0" applyFont="1" applyFill="1" applyAlignment="1">
      <alignment horizontal="center"/>
    </xf>
    <xf numFmtId="49" fontId="10" fillId="4" borderId="0" xfId="0" applyNumberFormat="1" applyFont="1" applyFill="1" applyAlignment="1">
      <alignment horizontal="center" vertical="center" wrapText="1"/>
    </xf>
    <xf numFmtId="0" fontId="10" fillId="4" borderId="0" xfId="0" applyFont="1" applyFill="1" applyAlignment="1">
      <alignment horizontal="center" vertical="center" wrapText="1"/>
    </xf>
    <xf numFmtId="0" fontId="11" fillId="4" borderId="0" xfId="0" applyFont="1" applyFill="1" applyAlignment="1">
      <alignment horizontal="center" vertical="top"/>
    </xf>
    <xf numFmtId="0" fontId="7" fillId="4" borderId="0" xfId="0" applyFont="1" applyFill="1" applyAlignment="1">
      <alignment horizontal="center"/>
    </xf>
    <xf numFmtId="0" fontId="7" fillId="4" borderId="0" xfId="0" applyFont="1" applyFill="1" applyAlignment="1"/>
    <xf numFmtId="49" fontId="9" fillId="4" borderId="0" xfId="0" applyNumberFormat="1" applyFont="1" applyFill="1" applyAlignment="1">
      <alignment horizontal="left"/>
    </xf>
    <xf numFmtId="49" fontId="9" fillId="4" borderId="0" xfId="0" applyNumberFormat="1" applyFont="1" applyFill="1"/>
    <xf numFmtId="0" fontId="9" fillId="4" borderId="0" xfId="0" applyFont="1" applyFill="1"/>
    <xf numFmtId="49" fontId="12" fillId="4" borderId="1" xfId="0" applyNumberFormat="1" applyFont="1" applyFill="1" applyBorder="1" applyAlignment="1">
      <alignment horizontal="center" vertical="top"/>
    </xf>
    <xf numFmtId="49" fontId="12" fillId="4" borderId="1" xfId="0" applyNumberFormat="1" applyFont="1" applyFill="1" applyBorder="1" applyAlignment="1">
      <alignment horizontal="center" vertical="top" wrapText="1"/>
    </xf>
    <xf numFmtId="0" fontId="9" fillId="4" borderId="1" xfId="0" applyFont="1" applyFill="1" applyBorder="1" applyAlignment="1">
      <alignment horizontal="center" vertical="top"/>
    </xf>
    <xf numFmtId="0" fontId="9" fillId="4" borderId="1" xfId="0" applyFont="1" applyFill="1" applyBorder="1" applyAlignment="1">
      <alignment vertical="top" wrapText="1"/>
    </xf>
    <xf numFmtId="164" fontId="9" fillId="4" borderId="1" xfId="0" applyNumberFormat="1" applyFont="1" applyFill="1" applyBorder="1"/>
    <xf numFmtId="164" fontId="9" fillId="4" borderId="1" xfId="0" applyNumberFormat="1" applyFont="1" applyFill="1" applyBorder="1" applyAlignment="1">
      <alignment vertical="top"/>
    </xf>
    <xf numFmtId="0" fontId="9" fillId="4" borderId="0" xfId="0" applyFont="1" applyFill="1" applyAlignment="1">
      <alignment vertical="top"/>
    </xf>
    <xf numFmtId="164" fontId="6" fillId="4" borderId="1" xfId="0" applyNumberFormat="1" applyFont="1" applyFill="1" applyBorder="1"/>
    <xf numFmtId="0" fontId="5" fillId="4" borderId="0" xfId="0" applyFont="1" applyFill="1"/>
    <xf numFmtId="49" fontId="0" fillId="4" borderId="0" xfId="0" applyNumberFormat="1" applyFill="1" applyAlignment="1">
      <alignment vertical="top"/>
    </xf>
    <xf numFmtId="0" fontId="0" fillId="4" borderId="0" xfId="0" applyFill="1" applyAlignment="1">
      <alignment vertical="top" wrapText="1"/>
    </xf>
    <xf numFmtId="0" fontId="0" fillId="4" borderId="0" xfId="0" applyFill="1" applyAlignment="1">
      <alignment vertical="top"/>
    </xf>
    <xf numFmtId="0" fontId="0" fillId="4" borderId="0" xfId="0" applyFill="1" applyAlignment="1">
      <alignment wrapText="1"/>
    </xf>
    <xf numFmtId="49" fontId="1" fillId="0" borderId="0" xfId="0" applyNumberFormat="1" applyFont="1" applyFill="1" applyAlignment="1"/>
    <xf numFmtId="0" fontId="1" fillId="0" borderId="1" xfId="0" applyFont="1" applyFill="1" applyBorder="1" applyAlignment="1">
      <alignment horizontal="center" vertical="top"/>
    </xf>
    <xf numFmtId="0" fontId="15" fillId="0" borderId="1" xfId="0" applyFont="1" applyFill="1" applyBorder="1"/>
    <xf numFmtId="0" fontId="1" fillId="0" borderId="1" xfId="0" applyFont="1" applyFill="1" applyBorder="1" applyAlignment="1">
      <alignment vertical="top" wrapText="1"/>
    </xf>
    <xf numFmtId="0" fontId="1" fillId="0" borderId="3" xfId="0" applyFont="1" applyFill="1" applyBorder="1" applyAlignment="1">
      <alignment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vertical="top" wrapText="1"/>
    </xf>
    <xf numFmtId="49" fontId="1" fillId="0" borderId="1"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left" vertical="top" wrapText="1"/>
    </xf>
    <xf numFmtId="49" fontId="1" fillId="0" borderId="0" xfId="0" applyNumberFormat="1" applyFont="1" applyFill="1" applyBorder="1" applyAlignment="1">
      <alignment horizontal="left" vertical="top"/>
    </xf>
    <xf numFmtId="164" fontId="9" fillId="4" borderId="0" xfId="0" applyNumberFormat="1" applyFont="1" applyFill="1"/>
    <xf numFmtId="49" fontId="16" fillId="0" borderId="0" xfId="0" applyNumberFormat="1" applyFont="1"/>
    <xf numFmtId="0" fontId="16" fillId="0" borderId="0" xfId="0" applyFont="1"/>
    <xf numFmtId="0" fontId="16" fillId="0" borderId="0" xfId="0" applyFont="1" applyAlignment="1">
      <alignment wrapText="1"/>
    </xf>
    <xf numFmtId="0" fontId="16" fillId="5" borderId="0" xfId="0" applyFont="1" applyFill="1"/>
    <xf numFmtId="0" fontId="16" fillId="0" borderId="0" xfId="0" applyFont="1" applyFill="1"/>
    <xf numFmtId="0" fontId="17" fillId="0" borderId="0" xfId="0" applyFont="1"/>
    <xf numFmtId="49" fontId="18" fillId="0" borderId="0" xfId="0" applyNumberFormat="1" applyFont="1" applyAlignment="1">
      <alignment horizontal="center"/>
    </xf>
    <xf numFmtId="0" fontId="18" fillId="0" borderId="0" xfId="0" applyFont="1" applyAlignment="1">
      <alignment horizontal="center"/>
    </xf>
    <xf numFmtId="0" fontId="18" fillId="0" borderId="0" xfId="0" applyFont="1" applyAlignment="1">
      <alignment horizontal="center" wrapText="1"/>
    </xf>
    <xf numFmtId="0" fontId="16" fillId="5" borderId="0" xfId="0" applyFont="1" applyFill="1" applyAlignment="1"/>
    <xf numFmtId="0" fontId="16" fillId="0" borderId="0" xfId="0" applyFont="1" applyFill="1" applyAlignment="1"/>
    <xf numFmtId="0" fontId="18" fillId="5" borderId="0" xfId="0" applyFont="1" applyFill="1" applyAlignment="1">
      <alignment horizontal="center"/>
    </xf>
    <xf numFmtId="0" fontId="18" fillId="0" borderId="0" xfId="0" applyFont="1" applyFill="1" applyAlignment="1">
      <alignment horizontal="center"/>
    </xf>
    <xf numFmtId="49" fontId="16" fillId="0" borderId="0" xfId="0" applyNumberFormat="1" applyFont="1" applyAlignment="1"/>
    <xf numFmtId="0" fontId="19" fillId="0" borderId="0" xfId="0" applyFont="1" applyAlignment="1"/>
    <xf numFmtId="0" fontId="20" fillId="0" borderId="0" xfId="0" applyFont="1" applyAlignment="1">
      <alignment vertical="top"/>
    </xf>
    <xf numFmtId="49" fontId="16" fillId="0" borderId="0" xfId="0" applyNumberFormat="1" applyFont="1" applyFill="1" applyAlignment="1"/>
    <xf numFmtId="0" fontId="19" fillId="0" borderId="0" xfId="0" applyFont="1" applyFill="1" applyAlignment="1"/>
    <xf numFmtId="0" fontId="17" fillId="0" borderId="0" xfId="0" applyFont="1" applyFill="1"/>
    <xf numFmtId="49" fontId="16" fillId="0" borderId="0" xfId="0" applyNumberFormat="1" applyFont="1" applyAlignment="1">
      <alignment horizontal="left"/>
    </xf>
    <xf numFmtId="0" fontId="16" fillId="5" borderId="1" xfId="0" applyFont="1" applyFill="1" applyBorder="1" applyAlignment="1">
      <alignment horizontal="center" vertical="top" wrapText="1"/>
    </xf>
    <xf numFmtId="0" fontId="16" fillId="0" borderId="1" xfId="0" applyFont="1" applyFill="1" applyBorder="1" applyAlignment="1">
      <alignment horizontal="center" vertical="top" wrapText="1"/>
    </xf>
    <xf numFmtId="49" fontId="16" fillId="0" borderId="1" xfId="0" applyNumberFormat="1" applyFont="1" applyFill="1" applyBorder="1" applyAlignment="1">
      <alignment horizontal="center" vertical="top"/>
    </xf>
    <xf numFmtId="49" fontId="16" fillId="0" borderId="1" xfId="0" applyNumberFormat="1" applyFont="1" applyFill="1" applyBorder="1" applyAlignment="1">
      <alignment horizontal="center" vertical="top" wrapText="1"/>
    </xf>
    <xf numFmtId="49" fontId="16" fillId="6" borderId="1" xfId="0" applyNumberFormat="1" applyFont="1" applyFill="1" applyBorder="1" applyAlignment="1">
      <alignment horizontal="center" vertical="top"/>
    </xf>
    <xf numFmtId="0" fontId="16" fillId="0" borderId="1" xfId="0" applyFont="1" applyFill="1" applyBorder="1" applyAlignment="1">
      <alignment horizontal="center" vertical="top"/>
    </xf>
    <xf numFmtId="0" fontId="16" fillId="0" borderId="1" xfId="0" applyFont="1" applyFill="1" applyBorder="1" applyAlignment="1">
      <alignment horizontal="justify" vertical="top"/>
    </xf>
    <xf numFmtId="165" fontId="16" fillId="5" borderId="1" xfId="0" applyNumberFormat="1" applyFont="1" applyFill="1" applyBorder="1" applyAlignment="1">
      <alignment horizontal="center" vertical="top"/>
    </xf>
    <xf numFmtId="165" fontId="16" fillId="0" borderId="1" xfId="0" applyNumberFormat="1" applyFont="1" applyFill="1" applyBorder="1" applyAlignment="1">
      <alignment horizontal="center" vertical="top"/>
    </xf>
    <xf numFmtId="2" fontId="16" fillId="0" borderId="1" xfId="0" applyNumberFormat="1" applyFont="1" applyFill="1" applyBorder="1" applyAlignment="1">
      <alignment horizontal="center" vertical="top"/>
    </xf>
    <xf numFmtId="49" fontId="16" fillId="0" borderId="1" xfId="0" applyNumberFormat="1" applyFont="1" applyBorder="1" applyAlignment="1">
      <alignment horizontal="center" vertical="top"/>
    </xf>
    <xf numFmtId="0" fontId="16" fillId="0" borderId="1" xfId="0" applyFont="1" applyBorder="1" applyAlignment="1">
      <alignment horizontal="center" vertical="top"/>
    </xf>
    <xf numFmtId="0" fontId="16" fillId="0" borderId="1" xfId="0" applyFont="1" applyFill="1" applyBorder="1" applyAlignment="1">
      <alignment vertical="top" wrapText="1"/>
    </xf>
    <xf numFmtId="165" fontId="16" fillId="0" borderId="1" xfId="0" applyNumberFormat="1" applyFont="1" applyFill="1" applyBorder="1" applyAlignment="1">
      <alignment horizontal="center" vertical="top" wrapText="1"/>
    </xf>
    <xf numFmtId="0" fontId="16" fillId="6" borderId="1" xfId="0" applyFont="1" applyFill="1" applyBorder="1" applyAlignment="1">
      <alignment horizontal="center" vertical="top"/>
    </xf>
    <xf numFmtId="0" fontId="16" fillId="0" borderId="1" xfId="0" applyFont="1" applyBorder="1" applyAlignment="1">
      <alignment horizontal="justify" vertical="top"/>
    </xf>
    <xf numFmtId="0" fontId="16" fillId="0" borderId="1" xfId="0" applyFont="1" applyBorder="1" applyAlignment="1">
      <alignment horizontal="center" vertical="top" wrapText="1"/>
    </xf>
    <xf numFmtId="0" fontId="16" fillId="5" borderId="1" xfId="0" applyFont="1" applyFill="1" applyBorder="1" applyAlignment="1">
      <alignment horizontal="center" vertical="top"/>
    </xf>
    <xf numFmtId="164" fontId="16" fillId="5" borderId="1" xfId="0" applyNumberFormat="1" applyFont="1" applyFill="1" applyBorder="1" applyAlignment="1">
      <alignment horizontal="center" vertical="top"/>
    </xf>
    <xf numFmtId="164" fontId="16" fillId="0" borderId="1" xfId="0" applyNumberFormat="1" applyFont="1" applyFill="1" applyBorder="1" applyAlignment="1">
      <alignment horizontal="center" vertical="top"/>
    </xf>
    <xf numFmtId="0" fontId="21" fillId="0" borderId="1" xfId="0" applyFont="1" applyBorder="1" applyAlignment="1">
      <alignment horizontal="center" vertical="top" wrapText="1"/>
    </xf>
    <xf numFmtId="0" fontId="16" fillId="0" borderId="1" xfId="0" applyFont="1" applyFill="1" applyBorder="1" applyAlignment="1">
      <alignment horizontal="center"/>
    </xf>
    <xf numFmtId="0" fontId="16" fillId="0" borderId="1" xfId="0" applyFont="1" applyBorder="1" applyAlignment="1">
      <alignment horizontal="center"/>
    </xf>
    <xf numFmtId="0" fontId="16" fillId="0" borderId="1" xfId="0" applyFont="1" applyFill="1" applyBorder="1" applyAlignment="1">
      <alignment horizontal="justify" vertical="top" wrapText="1"/>
    </xf>
    <xf numFmtId="165" fontId="16" fillId="0" borderId="1" xfId="0" applyNumberFormat="1" applyFont="1" applyBorder="1" applyAlignment="1">
      <alignment horizontal="center" vertical="top"/>
    </xf>
    <xf numFmtId="165" fontId="16" fillId="0" borderId="1" xfId="0" applyNumberFormat="1" applyFont="1" applyBorder="1" applyAlignment="1">
      <alignment horizontal="center" vertical="top" wrapText="1"/>
    </xf>
    <xf numFmtId="2" fontId="16" fillId="0" borderId="1" xfId="0" applyNumberFormat="1" applyFont="1" applyBorder="1" applyAlignment="1">
      <alignment horizontal="center" vertical="top" wrapText="1"/>
    </xf>
    <xf numFmtId="49" fontId="16" fillId="0" borderId="8" xfId="0" applyNumberFormat="1" applyFont="1" applyBorder="1" applyAlignment="1">
      <alignment horizontal="center" vertical="top"/>
    </xf>
    <xf numFmtId="49" fontId="16" fillId="0" borderId="1" xfId="0" applyNumberFormat="1" applyFont="1" applyBorder="1" applyAlignment="1">
      <alignment vertical="top" wrapText="1"/>
    </xf>
    <xf numFmtId="0" fontId="22" fillId="0" borderId="0" xfId="0" applyFont="1" applyFill="1"/>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xf>
    <xf numFmtId="0" fontId="22" fillId="0" borderId="1" xfId="0" applyFont="1" applyFill="1" applyBorder="1" applyAlignment="1">
      <alignment horizontal="left" vertical="top" wrapText="1"/>
    </xf>
    <xf numFmtId="0" fontId="22" fillId="0" borderId="2" xfId="0" applyFont="1" applyFill="1" applyBorder="1" applyAlignment="1">
      <alignment vertical="top" wrapText="1"/>
    </xf>
    <xf numFmtId="0" fontId="22" fillId="0" borderId="2" xfId="0" applyFont="1" applyFill="1" applyBorder="1" applyAlignment="1">
      <alignment horizontal="left" vertical="top" wrapText="1"/>
    </xf>
    <xf numFmtId="0" fontId="22" fillId="0" borderId="1" xfId="0" applyFont="1" applyFill="1" applyBorder="1" applyAlignment="1">
      <alignment vertical="top" wrapText="1"/>
    </xf>
    <xf numFmtId="49" fontId="22" fillId="0" borderId="2" xfId="0" applyNumberFormat="1" applyFont="1" applyFill="1" applyBorder="1" applyAlignment="1">
      <alignment horizontal="center" vertical="top"/>
    </xf>
    <xf numFmtId="49" fontId="22" fillId="0" borderId="2" xfId="0" applyNumberFormat="1" applyFont="1" applyFill="1" applyBorder="1" applyAlignment="1">
      <alignment horizontal="center" vertical="top" wrapText="1"/>
    </xf>
    <xf numFmtId="0" fontId="22" fillId="0" borderId="2" xfId="0" applyFont="1" applyFill="1" applyBorder="1" applyAlignment="1">
      <alignment horizontal="center" vertical="top" wrapText="1"/>
    </xf>
    <xf numFmtId="0" fontId="22" fillId="0" borderId="3" xfId="0" applyFont="1" applyFill="1" applyBorder="1" applyAlignment="1">
      <alignment horizontal="center" vertical="top" wrapText="1"/>
    </xf>
    <xf numFmtId="0" fontId="22" fillId="0" borderId="1" xfId="0" applyNumberFormat="1" applyFont="1" applyFill="1" applyBorder="1" applyAlignment="1">
      <alignment horizontal="left" vertical="top" wrapText="1"/>
    </xf>
    <xf numFmtId="0" fontId="5" fillId="0" borderId="0" xfId="0" applyFont="1" applyFill="1"/>
    <xf numFmtId="0" fontId="5" fillId="4" borderId="0" xfId="0" applyFont="1" applyFill="1" applyAlignment="1">
      <alignment horizontal="center"/>
    </xf>
    <xf numFmtId="164" fontId="5" fillId="4" borderId="0" xfId="0" applyNumberFormat="1" applyFont="1" applyFill="1" applyAlignment="1">
      <alignment horizontal="center"/>
    </xf>
    <xf numFmtId="0" fontId="24" fillId="4" borderId="0" xfId="0" applyFont="1" applyFill="1" applyAlignment="1">
      <alignment horizontal="center"/>
    </xf>
    <xf numFmtId="164" fontId="24" fillId="4" borderId="0" xfId="0" applyNumberFormat="1" applyFont="1" applyFill="1" applyAlignment="1">
      <alignment horizontal="center"/>
    </xf>
    <xf numFmtId="0" fontId="26" fillId="4" borderId="0" xfId="0" applyFont="1" applyFill="1" applyAlignment="1">
      <alignment horizontal="center" vertical="top"/>
    </xf>
    <xf numFmtId="164" fontId="26" fillId="4" borderId="0" xfId="0" applyNumberFormat="1" applyFont="1" applyFill="1" applyAlignment="1">
      <alignment horizontal="center" vertical="top"/>
    </xf>
    <xf numFmtId="165" fontId="1" fillId="4" borderId="1" xfId="0" applyNumberFormat="1" applyFont="1" applyFill="1" applyBorder="1" applyAlignment="1">
      <alignment horizontal="center" vertical="top"/>
    </xf>
    <xf numFmtId="164" fontId="1" fillId="4" borderId="1" xfId="0" applyNumberFormat="1" applyFont="1" applyFill="1" applyBorder="1" applyAlignment="1">
      <alignment horizontal="center" vertical="top"/>
    </xf>
    <xf numFmtId="165" fontId="22" fillId="4" borderId="1" xfId="3" applyNumberFormat="1" applyFont="1" applyFill="1" applyBorder="1" applyAlignment="1">
      <alignment horizontal="center" vertical="top"/>
    </xf>
    <xf numFmtId="164" fontId="22" fillId="4" borderId="1" xfId="3" applyNumberFormat="1" applyFont="1" applyFill="1" applyBorder="1" applyAlignment="1">
      <alignment horizontal="center" vertical="top"/>
    </xf>
    <xf numFmtId="165" fontId="22" fillId="4" borderId="1" xfId="0" applyNumberFormat="1" applyFont="1" applyFill="1" applyBorder="1" applyAlignment="1">
      <alignment horizontal="center" vertical="top"/>
    </xf>
    <xf numFmtId="164" fontId="22" fillId="4" borderId="1" xfId="0" applyNumberFormat="1" applyFont="1" applyFill="1" applyBorder="1" applyAlignment="1">
      <alignment horizontal="center" vertical="top"/>
    </xf>
    <xf numFmtId="0" fontId="6" fillId="4" borderId="1" xfId="0" applyFont="1" applyFill="1" applyBorder="1" applyAlignment="1">
      <alignment horizontal="left" vertical="top" wrapText="1"/>
    </xf>
    <xf numFmtId="49" fontId="5" fillId="0" borderId="0" xfId="0" applyNumberFormat="1" applyFont="1" applyFill="1"/>
    <xf numFmtId="0" fontId="16" fillId="4" borderId="0" xfId="0" applyFont="1" applyFill="1"/>
    <xf numFmtId="0" fontId="6" fillId="4" borderId="0" xfId="0" applyFont="1" applyFill="1"/>
    <xf numFmtId="0" fontId="22" fillId="4" borderId="1" xfId="0" applyFont="1" applyFill="1" applyBorder="1" applyAlignment="1">
      <alignment horizontal="center" vertical="top" wrapText="1"/>
    </xf>
    <xf numFmtId="0" fontId="22" fillId="4" borderId="2" xfId="0" applyFont="1" applyFill="1" applyBorder="1" applyAlignment="1">
      <alignment horizontal="center" vertical="top" wrapText="1"/>
    </xf>
    <xf numFmtId="165" fontId="22" fillId="4" borderId="2" xfId="0" applyNumberFormat="1" applyFont="1" applyFill="1" applyBorder="1" applyAlignment="1">
      <alignment horizontal="center" vertical="top" wrapText="1"/>
    </xf>
    <xf numFmtId="165" fontId="22" fillId="4" borderId="1" xfId="0" applyNumberFormat="1" applyFont="1" applyFill="1" applyBorder="1" applyAlignment="1">
      <alignment horizontal="center" vertical="top" wrapText="1"/>
    </xf>
    <xf numFmtId="165" fontId="22" fillId="0" borderId="1" xfId="0" applyNumberFormat="1" applyFont="1" applyFill="1" applyBorder="1" applyAlignment="1">
      <alignment horizontal="center" vertical="top" wrapText="1"/>
    </xf>
    <xf numFmtId="49" fontId="22" fillId="0" borderId="3" xfId="0" applyNumberFormat="1" applyFont="1" applyFill="1" applyBorder="1" applyAlignment="1">
      <alignment horizontal="center" vertical="top" wrapText="1"/>
    </xf>
    <xf numFmtId="0" fontId="22" fillId="0" borderId="14" xfId="0" applyNumberFormat="1" applyFont="1" applyFill="1" applyBorder="1" applyAlignment="1">
      <alignment vertical="top" wrapText="1"/>
    </xf>
    <xf numFmtId="0" fontId="22" fillId="0" borderId="14" xfId="0" applyNumberFormat="1" applyFont="1" applyFill="1" applyBorder="1" applyAlignment="1">
      <alignment horizontal="left" vertical="top" wrapText="1"/>
    </xf>
    <xf numFmtId="0" fontId="22" fillId="0" borderId="3" xfId="0" applyFont="1" applyFill="1" applyBorder="1" applyAlignment="1">
      <alignment horizontal="left" vertical="top" wrapText="1"/>
    </xf>
    <xf numFmtId="0" fontId="22" fillId="4" borderId="3" xfId="0" applyFont="1" applyFill="1" applyBorder="1" applyAlignment="1">
      <alignment horizontal="center" vertical="top" wrapText="1"/>
    </xf>
    <xf numFmtId="0" fontId="22" fillId="0" borderId="13" xfId="0" applyFont="1" applyFill="1" applyBorder="1" applyAlignment="1">
      <alignment vertical="top" wrapText="1"/>
    </xf>
    <xf numFmtId="0" fontId="22" fillId="0" borderId="1" xfId="0" applyFont="1" applyFill="1" applyBorder="1" applyAlignment="1">
      <alignment horizontal="left" vertical="top"/>
    </xf>
    <xf numFmtId="1" fontId="22" fillId="4" borderId="1" xfId="0" applyNumberFormat="1" applyFont="1" applyFill="1" applyBorder="1" applyAlignment="1">
      <alignment vertical="top"/>
    </xf>
    <xf numFmtId="165" fontId="22" fillId="4" borderId="1" xfId="0" applyNumberFormat="1" applyFont="1" applyFill="1" applyBorder="1" applyAlignment="1">
      <alignment vertical="top"/>
    </xf>
    <xf numFmtId="165" fontId="22" fillId="4" borderId="1" xfId="3" applyNumberFormat="1" applyFont="1" applyFill="1" applyBorder="1" applyAlignment="1">
      <alignment horizontal="right" vertical="top"/>
    </xf>
    <xf numFmtId="164" fontId="22" fillId="4" borderId="1" xfId="0" applyNumberFormat="1" applyFont="1" applyFill="1" applyBorder="1" applyAlignment="1">
      <alignment vertical="top"/>
    </xf>
    <xf numFmtId="0" fontId="22" fillId="0" borderId="1" xfId="0" applyFont="1" applyFill="1" applyBorder="1" applyAlignment="1">
      <alignment vertical="top"/>
    </xf>
    <xf numFmtId="1" fontId="22" fillId="4" borderId="1" xfId="0" applyNumberFormat="1" applyFont="1" applyFill="1" applyBorder="1" applyAlignment="1">
      <alignment horizontal="right" vertical="top"/>
    </xf>
    <xf numFmtId="165" fontId="22" fillId="4" borderId="1" xfId="0" applyNumberFormat="1" applyFont="1" applyFill="1" applyBorder="1" applyAlignment="1">
      <alignment horizontal="right" vertical="top"/>
    </xf>
    <xf numFmtId="0" fontId="22" fillId="4" borderId="0" xfId="0" applyFont="1" applyFill="1"/>
    <xf numFmtId="0" fontId="16" fillId="0" borderId="1" xfId="0" applyFont="1" applyFill="1" applyBorder="1" applyAlignment="1">
      <alignment horizontal="center" vertical="top" wrapText="1"/>
    </xf>
    <xf numFmtId="0" fontId="9" fillId="4" borderId="0" xfId="0" applyFont="1" applyFill="1" applyAlignment="1">
      <alignment horizontal="center"/>
    </xf>
    <xf numFmtId="0" fontId="1" fillId="4" borderId="1" xfId="0" applyFont="1" applyFill="1" applyBorder="1" applyAlignment="1">
      <alignment horizontal="center" vertical="top" wrapText="1"/>
    </xf>
    <xf numFmtId="164" fontId="0" fillId="4" borderId="0" xfId="0" applyNumberFormat="1" applyFont="1" applyFill="1"/>
    <xf numFmtId="164" fontId="0" fillId="4" borderId="0" xfId="0" applyNumberFormat="1" applyFill="1"/>
    <xf numFmtId="164" fontId="9" fillId="4" borderId="1" xfId="0" applyNumberFormat="1" applyFont="1" applyFill="1" applyBorder="1" applyAlignment="1">
      <alignment horizontal="center"/>
    </xf>
    <xf numFmtId="0" fontId="17" fillId="0" borderId="1" xfId="0" applyFont="1" applyBorder="1"/>
    <xf numFmtId="0" fontId="22" fillId="5" borderId="1" xfId="0" applyFont="1" applyFill="1" applyBorder="1" applyAlignment="1">
      <alignment horizontal="center" vertical="top" wrapText="1"/>
    </xf>
    <xf numFmtId="0" fontId="9" fillId="4" borderId="0" xfId="0" applyFont="1" applyFill="1" applyAlignment="1">
      <alignment horizontal="center"/>
    </xf>
    <xf numFmtId="0" fontId="10" fillId="4" borderId="0" xfId="0" applyFont="1" applyFill="1" applyAlignment="1">
      <alignment horizontal="center" vertical="center" wrapText="1"/>
    </xf>
    <xf numFmtId="0" fontId="11" fillId="4" borderId="0" xfId="0" applyFont="1" applyFill="1" applyAlignment="1">
      <alignment horizontal="center" vertical="top"/>
    </xf>
    <xf numFmtId="0" fontId="1" fillId="4" borderId="1" xfId="0" applyFont="1" applyFill="1" applyBorder="1" applyAlignment="1">
      <alignment horizontal="center" vertical="top" wrapText="1"/>
    </xf>
    <xf numFmtId="0" fontId="0" fillId="7" borderId="0" xfId="0" applyFont="1" applyFill="1"/>
    <xf numFmtId="0" fontId="0" fillId="7" borderId="0" xfId="0" applyFill="1"/>
    <xf numFmtId="0" fontId="9" fillId="7" borderId="0" xfId="0" applyFont="1" applyFill="1" applyAlignment="1">
      <alignment horizontal="center"/>
    </xf>
    <xf numFmtId="4" fontId="9" fillId="7" borderId="0" xfId="0" applyNumberFormat="1" applyFont="1" applyFill="1"/>
    <xf numFmtId="0" fontId="9" fillId="7" borderId="1" xfId="0" applyFont="1" applyFill="1" applyBorder="1" applyAlignment="1">
      <alignment horizontal="center"/>
    </xf>
    <xf numFmtId="164" fontId="9" fillId="7" borderId="1" xfId="0" applyNumberFormat="1" applyFont="1" applyFill="1" applyBorder="1"/>
    <xf numFmtId="0" fontId="22" fillId="0" borderId="1" xfId="0" applyFont="1" applyFill="1" applyBorder="1" applyAlignment="1">
      <alignment horizontal="center" vertical="top" wrapText="1"/>
    </xf>
    <xf numFmtId="0" fontId="22" fillId="4" borderId="1" xfId="0" applyFont="1" applyFill="1" applyBorder="1" applyAlignment="1">
      <alignment horizontal="center" vertical="top" wrapText="1"/>
    </xf>
    <xf numFmtId="0" fontId="22" fillId="0" borderId="2" xfId="0" applyFont="1" applyFill="1" applyBorder="1" applyAlignment="1">
      <alignment horizontal="center" vertical="top" wrapText="1"/>
    </xf>
    <xf numFmtId="0" fontId="22" fillId="0" borderId="3" xfId="0" applyFont="1" applyFill="1" applyBorder="1" applyAlignment="1">
      <alignment horizontal="center" vertical="top" wrapText="1"/>
    </xf>
    <xf numFmtId="165" fontId="22" fillId="0" borderId="2" xfId="0" applyNumberFormat="1" applyFont="1" applyFill="1" applyBorder="1" applyAlignment="1">
      <alignment horizontal="center" vertical="top" wrapText="1"/>
    </xf>
    <xf numFmtId="165" fontId="22" fillId="0" borderId="1" xfId="3" applyNumberFormat="1" applyFont="1" applyFill="1" applyBorder="1" applyAlignment="1">
      <alignment horizontal="right" vertical="top"/>
    </xf>
    <xf numFmtId="165" fontId="22" fillId="4" borderId="3" xfId="0" applyNumberFormat="1" applyFont="1" applyFill="1" applyBorder="1" applyAlignment="1">
      <alignment horizontal="center" vertical="top" wrapText="1"/>
    </xf>
    <xf numFmtId="4" fontId="16" fillId="0" borderId="1" xfId="0" applyNumberFormat="1" applyFont="1" applyFill="1" applyBorder="1" applyAlignment="1">
      <alignment horizontal="center" vertical="top"/>
    </xf>
    <xf numFmtId="0" fontId="29" fillId="0" borderId="0" xfId="0" applyFont="1"/>
    <xf numFmtId="0" fontId="29" fillId="0" borderId="0" xfId="0" applyFont="1" applyFill="1"/>
    <xf numFmtId="0" fontId="29" fillId="0" borderId="1" xfId="0" applyFont="1" applyBorder="1" applyAlignment="1">
      <alignment vertical="top" wrapText="1"/>
    </xf>
    <xf numFmtId="0" fontId="29" fillId="0" borderId="1" xfId="0" applyFont="1" applyBorder="1"/>
    <xf numFmtId="0" fontId="29" fillId="0" borderId="1" xfId="0" applyFont="1" applyBorder="1" applyAlignment="1"/>
    <xf numFmtId="0" fontId="29" fillId="0" borderId="1" xfId="0" applyFont="1" applyFill="1" applyBorder="1" applyAlignment="1"/>
    <xf numFmtId="165" fontId="16" fillId="4" borderId="1" xfId="0" applyNumberFormat="1" applyFont="1" applyFill="1" applyBorder="1" applyAlignment="1">
      <alignment horizontal="center" vertical="top" wrapText="1"/>
    </xf>
    <xf numFmtId="165" fontId="16" fillId="4" borderId="1" xfId="0" applyNumberFormat="1" applyFont="1" applyFill="1" applyBorder="1" applyAlignment="1">
      <alignment horizontal="center" vertical="top"/>
    </xf>
    <xf numFmtId="0" fontId="16" fillId="4" borderId="1" xfId="0" applyFont="1" applyFill="1" applyBorder="1" applyAlignment="1">
      <alignment horizontal="center" vertical="top"/>
    </xf>
    <xf numFmtId="0" fontId="16" fillId="4" borderId="1" xfId="0" applyFont="1" applyFill="1" applyBorder="1" applyAlignment="1">
      <alignment horizontal="center"/>
    </xf>
    <xf numFmtId="0" fontId="16" fillId="0" borderId="1" xfId="0" applyFont="1" applyFill="1" applyBorder="1" applyAlignment="1">
      <alignment horizontal="center" vertical="top" wrapText="1"/>
    </xf>
    <xf numFmtId="49" fontId="1" fillId="0" borderId="2"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0" fontId="1" fillId="0" borderId="2" xfId="0" applyFont="1" applyFill="1" applyBorder="1" applyAlignment="1">
      <alignment horizontal="left" vertical="top" wrapText="1"/>
    </xf>
    <xf numFmtId="0" fontId="1" fillId="0" borderId="2" xfId="0" applyFont="1" applyFill="1" applyBorder="1" applyAlignment="1">
      <alignment horizontal="center" vertical="top"/>
    </xf>
    <xf numFmtId="49" fontId="1" fillId="0" borderId="2" xfId="0" applyNumberFormat="1" applyFont="1" applyFill="1" applyBorder="1" applyAlignment="1">
      <alignment horizontal="center" vertical="center"/>
    </xf>
    <xf numFmtId="0" fontId="1" fillId="0" borderId="3" xfId="0" applyFont="1" applyFill="1" applyBorder="1" applyAlignment="1">
      <alignment horizontal="center" vertical="top"/>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49" fontId="1" fillId="0" borderId="1" xfId="0" applyNumberFormat="1" applyFont="1" applyFill="1" applyBorder="1" applyAlignment="1">
      <alignment horizontal="center" vertical="top"/>
    </xf>
    <xf numFmtId="0" fontId="1" fillId="0" borderId="1" xfId="0" applyFont="1" applyFill="1" applyBorder="1" applyAlignment="1">
      <alignment horizontal="left" vertical="top" wrapText="1"/>
    </xf>
    <xf numFmtId="49" fontId="1" fillId="0" borderId="0" xfId="0" applyNumberFormat="1" applyFont="1" applyFill="1" applyBorder="1" applyAlignment="1">
      <alignment horizontal="center" vertical="top"/>
    </xf>
    <xf numFmtId="0" fontId="16" fillId="0" borderId="10" xfId="0" applyFont="1" applyFill="1" applyBorder="1" applyAlignment="1">
      <alignment horizontal="center" vertical="top" wrapText="1"/>
    </xf>
    <xf numFmtId="49" fontId="16" fillId="0" borderId="2" xfId="0" applyNumberFormat="1" applyFont="1" applyFill="1" applyBorder="1" applyAlignment="1">
      <alignment horizontal="center" vertical="top"/>
    </xf>
    <xf numFmtId="0" fontId="16" fillId="0" borderId="2" xfId="0" applyFont="1" applyFill="1" applyBorder="1" applyAlignment="1">
      <alignment horizontal="center" vertical="top"/>
    </xf>
    <xf numFmtId="0" fontId="16" fillId="0" borderId="2" xfId="0" applyFont="1" applyFill="1" applyBorder="1" applyAlignment="1">
      <alignment vertical="top" wrapText="1"/>
    </xf>
    <xf numFmtId="49" fontId="16" fillId="0" borderId="3" xfId="0" applyNumberFormat="1" applyFont="1" applyFill="1" applyBorder="1" applyAlignment="1">
      <alignment horizontal="center" vertical="top"/>
    </xf>
    <xf numFmtId="0" fontId="16" fillId="0" borderId="3" xfId="0" applyFont="1" applyFill="1" applyBorder="1" applyAlignment="1">
      <alignment horizontal="center" vertical="top"/>
    </xf>
    <xf numFmtId="0" fontId="30" fillId="0" borderId="1" xfId="0" applyFont="1" applyBorder="1" applyAlignment="1">
      <alignment horizontal="left" wrapText="1"/>
    </xf>
    <xf numFmtId="0" fontId="17" fillId="0" borderId="0" xfId="0" applyFont="1" applyFill="1" applyAlignment="1">
      <alignment horizontal="center" vertical="top"/>
    </xf>
    <xf numFmtId="4" fontId="16" fillId="0" borderId="1" xfId="0" applyNumberFormat="1" applyFont="1" applyFill="1" applyBorder="1" applyAlignment="1">
      <alignment horizontal="center" vertical="top" wrapText="1"/>
    </xf>
    <xf numFmtId="164" fontId="6" fillId="4" borderId="2" xfId="0" applyNumberFormat="1" applyFont="1" applyFill="1" applyBorder="1" applyAlignment="1">
      <alignment horizontal="center" vertical="top" wrapText="1"/>
    </xf>
    <xf numFmtId="164" fontId="6" fillId="4" borderId="3" xfId="0" applyNumberFormat="1" applyFont="1" applyFill="1" applyBorder="1" applyAlignment="1">
      <alignment horizontal="center" vertical="top" wrapText="1"/>
    </xf>
    <xf numFmtId="0" fontId="6" fillId="4" borderId="1" xfId="0" applyFont="1" applyFill="1" applyBorder="1" applyAlignment="1">
      <alignment horizontal="center" vertical="top" wrapText="1"/>
    </xf>
    <xf numFmtId="0" fontId="22" fillId="4" borderId="1" xfId="0" applyFont="1" applyFill="1" applyBorder="1" applyAlignment="1">
      <alignment horizontal="center" vertical="top" wrapText="1"/>
    </xf>
    <xf numFmtId="0" fontId="6" fillId="4" borderId="0" xfId="0" applyFont="1" applyFill="1" applyAlignment="1">
      <alignment horizontal="left"/>
    </xf>
    <xf numFmtId="0" fontId="9" fillId="4" borderId="0" xfId="0" applyFont="1" applyFill="1" applyAlignment="1">
      <alignment horizontal="center" vertical="top" wrapText="1"/>
    </xf>
    <xf numFmtId="0" fontId="9" fillId="4" borderId="0" xfId="0" applyFont="1" applyFill="1" applyAlignment="1">
      <alignment horizontal="center"/>
    </xf>
    <xf numFmtId="0" fontId="1" fillId="4" borderId="0" xfId="0" applyFont="1" applyFill="1" applyAlignment="1">
      <alignment horizontal="left"/>
    </xf>
    <xf numFmtId="0" fontId="1" fillId="4" borderId="1" xfId="0" applyFont="1" applyFill="1" applyBorder="1" applyAlignment="1">
      <alignment horizontal="center" vertical="top" wrapText="1"/>
    </xf>
    <xf numFmtId="0" fontId="28" fillId="0" borderId="1" xfId="0" applyFont="1" applyFill="1" applyBorder="1" applyAlignment="1">
      <alignment horizontal="left" vertical="top" wrapText="1"/>
    </xf>
    <xf numFmtId="0" fontId="15" fillId="0" borderId="0" xfId="0" applyFont="1" applyFill="1" applyBorder="1"/>
    <xf numFmtId="0" fontId="1" fillId="0" borderId="11" xfId="0" applyFont="1" applyFill="1" applyBorder="1" applyAlignment="1">
      <alignment horizontal="center" vertical="top" wrapText="1"/>
    </xf>
    <xf numFmtId="49" fontId="1" fillId="0" borderId="0" xfId="0" applyNumberFormat="1" applyFont="1" applyFill="1"/>
    <xf numFmtId="0" fontId="1" fillId="0" borderId="0" xfId="0" applyFont="1" applyFill="1"/>
    <xf numFmtId="0" fontId="1" fillId="0" borderId="0" xfId="0" applyFont="1" applyFill="1" applyAlignment="1">
      <alignment horizontal="center"/>
    </xf>
    <xf numFmtId="0" fontId="1" fillId="0" borderId="0" xfId="0" applyFont="1" applyFill="1" applyAlignment="1">
      <alignment horizontal="center" wrapText="1"/>
    </xf>
    <xf numFmtId="0" fontId="15" fillId="0" borderId="0" xfId="0" applyFont="1" applyFill="1"/>
    <xf numFmtId="49" fontId="31" fillId="0" borderId="0" xfId="0" applyNumberFormat="1" applyFont="1" applyFill="1" applyAlignment="1"/>
    <xf numFmtId="0" fontId="31" fillId="0" borderId="0" xfId="0" applyFont="1" applyFill="1" applyAlignment="1"/>
    <xf numFmtId="49" fontId="31" fillId="0" borderId="0" xfId="0" applyNumberFormat="1" applyFont="1" applyFill="1" applyAlignment="1">
      <alignment horizontal="center"/>
    </xf>
    <xf numFmtId="0" fontId="31" fillId="0" borderId="0" xfId="0" applyFont="1" applyFill="1" applyAlignment="1">
      <alignment horizontal="center"/>
    </xf>
    <xf numFmtId="0" fontId="33" fillId="0" borderId="0" xfId="0" applyFont="1" applyFill="1" applyAlignment="1">
      <alignment vertical="top"/>
    </xf>
    <xf numFmtId="0" fontId="32" fillId="0" borderId="0" xfId="0" applyFont="1" applyFill="1" applyAlignment="1"/>
    <xf numFmtId="49" fontId="1" fillId="0" borderId="0" xfId="0" applyNumberFormat="1" applyFont="1" applyFill="1" applyAlignment="1">
      <alignment horizontal="left"/>
    </xf>
    <xf numFmtId="0" fontId="15" fillId="0" borderId="0" xfId="0" applyFont="1" applyFill="1" applyAlignment="1">
      <alignment wrapText="1"/>
    </xf>
    <xf numFmtId="0" fontId="31" fillId="0" borderId="1" xfId="0" applyFont="1" applyFill="1" applyBorder="1" applyAlignment="1">
      <alignment horizontal="center" vertical="top" wrapText="1"/>
    </xf>
    <xf numFmtId="49" fontId="1" fillId="0" borderId="1" xfId="0" applyNumberFormat="1" applyFont="1" applyFill="1" applyBorder="1"/>
    <xf numFmtId="2" fontId="1" fillId="0" borderId="1" xfId="0" applyNumberFormat="1" applyFont="1" applyFill="1" applyBorder="1" applyAlignment="1">
      <alignment horizontal="center" vertical="top" wrapText="1"/>
    </xf>
    <xf numFmtId="0" fontId="28" fillId="0" borderId="2" xfId="0" applyFont="1" applyFill="1" applyBorder="1" applyAlignment="1">
      <alignment horizontal="left" vertical="top" wrapText="1"/>
    </xf>
    <xf numFmtId="0" fontId="1" fillId="0" borderId="1" xfId="0" applyFont="1" applyFill="1" applyBorder="1" applyAlignment="1">
      <alignment horizontal="justify" vertical="top" wrapText="1"/>
    </xf>
    <xf numFmtId="0" fontId="14" fillId="0" borderId="0" xfId="0" applyFont="1" applyFill="1" applyAlignment="1">
      <alignment vertical="top" wrapText="1"/>
    </xf>
    <xf numFmtId="0" fontId="28" fillId="0" borderId="1" xfId="0" applyFont="1" applyFill="1" applyBorder="1" applyAlignment="1">
      <alignment horizontal="center" vertical="top" wrapText="1"/>
    </xf>
    <xf numFmtId="164" fontId="28" fillId="0" borderId="0" xfId="0" applyNumberFormat="1" applyFont="1" applyFill="1" applyAlignment="1">
      <alignment horizontal="left" vertical="top" wrapText="1"/>
    </xf>
    <xf numFmtId="0" fontId="28" fillId="0" borderId="1" xfId="0" applyFont="1" applyFill="1" applyBorder="1" applyAlignment="1">
      <alignment horizontal="center" vertical="top"/>
    </xf>
    <xf numFmtId="49" fontId="28" fillId="0" borderId="1" xfId="0" applyNumberFormat="1" applyFont="1" applyFill="1" applyBorder="1" applyAlignment="1">
      <alignment horizontal="center" vertical="top"/>
    </xf>
    <xf numFmtId="49" fontId="28" fillId="0" borderId="1" xfId="0" applyNumberFormat="1" applyFont="1" applyFill="1" applyBorder="1" applyAlignment="1">
      <alignment horizontal="center" vertical="top" wrapText="1"/>
    </xf>
    <xf numFmtId="0" fontId="28" fillId="0" borderId="0" xfId="0" applyFont="1" applyFill="1" applyAlignment="1">
      <alignment horizontal="left" vertical="top" wrapText="1"/>
    </xf>
    <xf numFmtId="0" fontId="28" fillId="0" borderId="5" xfId="6" applyNumberFormat="1" applyFont="1" applyFill="1" applyAlignment="1" applyProtection="1">
      <alignment horizontal="left" vertical="top" wrapText="1"/>
    </xf>
    <xf numFmtId="1" fontId="9" fillId="0" borderId="5" xfId="8" applyNumberFormat="1" applyFont="1" applyFill="1" applyProtection="1">
      <alignment horizontal="center" vertical="top" shrinkToFit="1"/>
    </xf>
    <xf numFmtId="49" fontId="1" fillId="0" borderId="1" xfId="0" applyNumberFormat="1" applyFont="1" applyFill="1" applyBorder="1" applyAlignment="1">
      <alignment horizontal="center" wrapText="1"/>
    </xf>
    <xf numFmtId="49" fontId="28" fillId="0" borderId="5" xfId="7" applyNumberFormat="1" applyFont="1" applyFill="1" applyAlignment="1" applyProtection="1">
      <alignment horizontal="left" vertical="top" wrapText="1"/>
    </xf>
    <xf numFmtId="0" fontId="31" fillId="0" borderId="1" xfId="0" applyFont="1" applyFill="1" applyBorder="1" applyAlignment="1">
      <alignment horizontal="center" vertical="top"/>
    </xf>
    <xf numFmtId="49" fontId="1" fillId="0" borderId="3" xfId="0" applyNumberFormat="1" applyFont="1" applyFill="1" applyBorder="1" applyAlignment="1">
      <alignment horizontal="left" vertical="top" wrapText="1"/>
    </xf>
    <xf numFmtId="49" fontId="1" fillId="0" borderId="3" xfId="0" applyNumberFormat="1" applyFont="1" applyFill="1" applyBorder="1"/>
    <xf numFmtId="0" fontId="9" fillId="0" borderId="5" xfId="7" applyNumberFormat="1" applyFont="1" applyFill="1" applyAlignment="1" applyProtection="1">
      <alignment horizontal="left" wrapText="1"/>
    </xf>
    <xf numFmtId="0" fontId="1" fillId="0" borderId="1" xfId="0" applyFont="1" applyFill="1" applyBorder="1"/>
    <xf numFmtId="0" fontId="28" fillId="0" borderId="1" xfId="0" applyFont="1" applyFill="1" applyBorder="1" applyAlignment="1">
      <alignment vertical="top" wrapText="1"/>
    </xf>
    <xf numFmtId="164" fontId="28" fillId="0" borderId="1" xfId="0" applyNumberFormat="1" applyFont="1" applyFill="1" applyBorder="1" applyAlignment="1">
      <alignment horizontal="right" vertical="top" wrapText="1"/>
    </xf>
    <xf numFmtId="0" fontId="1" fillId="0" borderId="0" xfId="0" applyFont="1" applyFill="1" applyBorder="1"/>
    <xf numFmtId="49" fontId="1" fillId="0" borderId="0" xfId="0" applyNumberFormat="1" applyFont="1" applyFill="1" applyBorder="1" applyAlignment="1">
      <alignment horizontal="center" vertical="top" wrapText="1"/>
    </xf>
    <xf numFmtId="0" fontId="1" fillId="0" borderId="0" xfId="0" applyFont="1" applyFill="1" applyBorder="1" applyAlignment="1">
      <alignment vertical="top" wrapText="1"/>
    </xf>
    <xf numFmtId="0" fontId="1" fillId="0" borderId="0" xfId="0" applyFont="1" applyFill="1" applyBorder="1" applyAlignment="1">
      <alignment horizontal="center" vertical="top" wrapText="1"/>
    </xf>
    <xf numFmtId="0" fontId="1" fillId="0" borderId="0" xfId="0" applyFont="1" applyFill="1" applyBorder="1" applyAlignment="1">
      <alignment horizontal="center" vertical="top"/>
    </xf>
    <xf numFmtId="0" fontId="1" fillId="0" borderId="0" xfId="0" applyFont="1" applyFill="1" applyBorder="1" applyAlignment="1">
      <alignment horizontal="justify" vertical="top" wrapText="1"/>
    </xf>
    <xf numFmtId="49" fontId="1" fillId="0" borderId="0" xfId="0" applyNumberFormat="1" applyFont="1" applyFill="1" applyBorder="1"/>
    <xf numFmtId="0" fontId="31" fillId="0" borderId="0" xfId="0" applyFont="1" applyFill="1" applyAlignment="1">
      <alignment horizontal="left" vertical="center" indent="2"/>
    </xf>
    <xf numFmtId="49" fontId="1" fillId="0" borderId="0" xfId="0" applyNumberFormat="1" applyFont="1" applyFill="1" applyBorder="1" applyAlignment="1"/>
    <xf numFmtId="0" fontId="1" fillId="0" borderId="2" xfId="0" applyFont="1" applyFill="1" applyBorder="1" applyAlignment="1">
      <alignment horizontal="left" vertical="top" wrapText="1"/>
    </xf>
    <xf numFmtId="0" fontId="1" fillId="0" borderId="1" xfId="0" applyFont="1" applyFill="1" applyBorder="1" applyAlignment="1">
      <alignment horizontal="center" vertical="top" wrapText="1"/>
    </xf>
    <xf numFmtId="49" fontId="5" fillId="4" borderId="0" xfId="0" applyNumberFormat="1" applyFont="1" applyFill="1" applyAlignment="1">
      <alignment horizontal="center"/>
    </xf>
    <xf numFmtId="0" fontId="6" fillId="4" borderId="0" xfId="0" applyFont="1" applyFill="1" applyAlignment="1">
      <alignment horizontal="right"/>
    </xf>
    <xf numFmtId="0" fontId="24" fillId="4" borderId="0" xfId="0" applyFont="1" applyFill="1" applyAlignment="1">
      <alignment horizontal="center" wrapText="1"/>
    </xf>
    <xf numFmtId="0" fontId="26" fillId="4" borderId="0" xfId="0" applyFont="1" applyFill="1" applyAlignment="1">
      <alignment vertical="top"/>
    </xf>
    <xf numFmtId="0" fontId="22" fillId="4" borderId="0" xfId="0" applyFont="1" applyFill="1" applyAlignment="1"/>
    <xf numFmtId="0" fontId="22" fillId="4" borderId="0" xfId="0" applyFont="1" applyFill="1" applyAlignment="1">
      <alignment horizontal="left"/>
    </xf>
    <xf numFmtId="0" fontId="6" fillId="4" borderId="0" xfId="0" applyFont="1" applyFill="1" applyAlignment="1">
      <alignment horizontal="center"/>
    </xf>
    <xf numFmtId="49" fontId="22" fillId="4" borderId="1" xfId="0" applyNumberFormat="1" applyFont="1" applyFill="1" applyBorder="1" applyAlignment="1">
      <alignment horizontal="center" vertical="top" wrapText="1"/>
    </xf>
    <xf numFmtId="49" fontId="22" fillId="4" borderId="1" xfId="0" applyNumberFormat="1" applyFont="1" applyFill="1" applyBorder="1" applyAlignment="1">
      <alignment horizontal="center" vertical="top"/>
    </xf>
    <xf numFmtId="0" fontId="1" fillId="4" borderId="1" xfId="0" applyFont="1" applyFill="1" applyBorder="1" applyAlignment="1">
      <alignment horizontal="left" vertical="top" wrapText="1"/>
    </xf>
    <xf numFmtId="164" fontId="27" fillId="4" borderId="0" xfId="9" applyNumberFormat="1" applyFill="1" applyAlignment="1" applyProtection="1">
      <alignment horizontal="right" vertical="top"/>
    </xf>
    <xf numFmtId="49" fontId="6" fillId="4" borderId="1" xfId="0" applyNumberFormat="1" applyFont="1" applyFill="1" applyBorder="1" applyAlignment="1">
      <alignment horizontal="center" vertical="top" wrapText="1"/>
    </xf>
    <xf numFmtId="49" fontId="22" fillId="4" borderId="2" xfId="0" applyNumberFormat="1" applyFont="1" applyFill="1" applyBorder="1" applyAlignment="1">
      <alignment horizontal="center" vertical="top"/>
    </xf>
    <xf numFmtId="0" fontId="1" fillId="4" borderId="2" xfId="0" applyFont="1" applyFill="1" applyBorder="1" applyAlignment="1">
      <alignment horizontal="left" vertical="top" wrapText="1"/>
    </xf>
    <xf numFmtId="49" fontId="22" fillId="4" borderId="2" xfId="0" applyNumberFormat="1" applyFont="1" applyFill="1" applyBorder="1" applyAlignment="1">
      <alignment horizontal="center" vertical="top" wrapText="1"/>
    </xf>
    <xf numFmtId="0" fontId="22" fillId="4" borderId="1" xfId="0" applyFont="1" applyFill="1" applyBorder="1" applyAlignment="1">
      <alignment horizontal="left" vertical="top" wrapText="1"/>
    </xf>
    <xf numFmtId="164" fontId="27" fillId="4" borderId="0" xfId="9" applyNumberFormat="1" applyFill="1" applyAlignment="1" applyProtection="1">
      <alignment horizontal="center" vertical="top"/>
    </xf>
    <xf numFmtId="49" fontId="22" fillId="4" borderId="11" xfId="0" applyNumberFormat="1" applyFont="1" applyFill="1" applyBorder="1" applyAlignment="1">
      <alignment horizontal="center" vertical="top" wrapText="1"/>
    </xf>
    <xf numFmtId="49" fontId="22" fillId="4" borderId="0" xfId="0" applyNumberFormat="1" applyFont="1" applyFill="1" applyBorder="1" applyAlignment="1">
      <alignment horizontal="center" vertical="top" wrapText="1"/>
    </xf>
    <xf numFmtId="49" fontId="5" fillId="4" borderId="0" xfId="0" applyNumberFormat="1" applyFont="1" applyFill="1"/>
    <xf numFmtId="49" fontId="22" fillId="4" borderId="0" xfId="0" applyNumberFormat="1" applyFont="1" applyFill="1" applyAlignment="1"/>
    <xf numFmtId="0" fontId="5" fillId="4" borderId="0" xfId="0" applyFont="1" applyFill="1" applyAlignment="1"/>
    <xf numFmtId="0" fontId="22" fillId="4" borderId="1" xfId="0" applyFont="1" applyFill="1" applyBorder="1" applyAlignment="1">
      <alignment horizontal="center" vertical="top"/>
    </xf>
    <xf numFmtId="0" fontId="22" fillId="4" borderId="12" xfId="0" applyFont="1" applyFill="1" applyBorder="1" applyAlignment="1">
      <alignment vertical="top" wrapText="1"/>
    </xf>
    <xf numFmtId="0" fontId="22" fillId="4" borderId="5" xfId="0" applyNumberFormat="1" applyFont="1" applyFill="1" applyBorder="1" applyAlignment="1">
      <alignment vertical="top" wrapText="1"/>
    </xf>
    <xf numFmtId="0" fontId="22" fillId="4" borderId="5" xfId="0" applyNumberFormat="1" applyFont="1" applyFill="1" applyBorder="1" applyAlignment="1">
      <alignment horizontal="left" vertical="top" wrapText="1"/>
    </xf>
    <xf numFmtId="164" fontId="22" fillId="4" borderId="1" xfId="0" applyNumberFormat="1" applyFont="1" applyFill="1" applyBorder="1" applyAlignment="1">
      <alignment horizontal="center" vertical="top" wrapText="1"/>
    </xf>
    <xf numFmtId="164" fontId="22" fillId="4" borderId="0" xfId="0" applyNumberFormat="1" applyFont="1" applyFill="1"/>
    <xf numFmtId="0" fontId="22" fillId="4" borderId="1" xfId="0" applyNumberFormat="1" applyFont="1" applyFill="1" applyBorder="1" applyAlignment="1">
      <alignment horizontal="left" vertical="top" wrapText="1"/>
    </xf>
    <xf numFmtId="0" fontId="22" fillId="4" borderId="13" xfId="0" applyFont="1" applyFill="1" applyBorder="1" applyAlignment="1">
      <alignment horizontal="left" vertical="top" wrapText="1"/>
    </xf>
    <xf numFmtId="49" fontId="23" fillId="4" borderId="0" xfId="0" applyNumberFormat="1" applyFont="1" applyFill="1"/>
    <xf numFmtId="0" fontId="23" fillId="4" borderId="0" xfId="0" applyFont="1" applyFill="1"/>
    <xf numFmtId="2" fontId="22" fillId="4" borderId="0" xfId="0" applyNumberFormat="1" applyFont="1" applyFill="1"/>
    <xf numFmtId="49" fontId="22" fillId="4" borderId="0" xfId="0" applyNumberFormat="1" applyFont="1" applyFill="1"/>
    <xf numFmtId="49" fontId="0" fillId="4" borderId="0" xfId="0" applyNumberFormat="1" applyFont="1" applyFill="1"/>
    <xf numFmtId="4" fontId="8" fillId="4" borderId="0" xfId="0" applyNumberFormat="1" applyFont="1" applyFill="1"/>
    <xf numFmtId="0" fontId="9" fillId="4" borderId="0" xfId="0" applyFont="1" applyFill="1" applyAlignment="1">
      <alignment horizontal="right" vertical="top"/>
    </xf>
    <xf numFmtId="4" fontId="0" fillId="4" borderId="0" xfId="0" applyNumberFormat="1" applyFont="1" applyFill="1"/>
    <xf numFmtId="0" fontId="0" fillId="4" borderId="0" xfId="0" applyFont="1" applyFill="1" applyAlignment="1">
      <alignment horizontal="right" vertical="top"/>
    </xf>
    <xf numFmtId="0" fontId="9" fillId="4" borderId="0" xfId="0" applyFont="1" applyFill="1" applyAlignment="1">
      <alignment horizontal="left"/>
    </xf>
    <xf numFmtId="49" fontId="9" fillId="4" borderId="0" xfId="0" applyNumberFormat="1" applyFont="1" applyFill="1" applyAlignment="1">
      <alignment horizontal="center"/>
    </xf>
    <xf numFmtId="49" fontId="1" fillId="4" borderId="0" xfId="0" applyNumberFormat="1" applyFont="1" applyFill="1" applyAlignment="1"/>
    <xf numFmtId="0" fontId="1" fillId="4" borderId="0" xfId="0" applyFont="1" applyFill="1" applyAlignment="1"/>
    <xf numFmtId="49" fontId="9" fillId="4" borderId="1" xfId="0" applyNumberFormat="1" applyFont="1" applyFill="1" applyBorder="1" applyAlignment="1">
      <alignment horizontal="center" vertical="top"/>
    </xf>
    <xf numFmtId="0" fontId="1" fillId="4" borderId="1" xfId="0" applyFont="1" applyFill="1" applyBorder="1" applyAlignment="1">
      <alignment horizontal="center" vertical="center" wrapText="1"/>
    </xf>
    <xf numFmtId="49" fontId="1" fillId="4"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4" fontId="14" fillId="4" borderId="1" xfId="0" applyNumberFormat="1" applyFont="1" applyFill="1" applyBorder="1" applyAlignment="1">
      <alignment horizontal="center" vertical="center" wrapText="1"/>
    </xf>
    <xf numFmtId="164" fontId="14"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top"/>
    </xf>
    <xf numFmtId="49" fontId="1" fillId="4" borderId="1" xfId="0" applyNumberFormat="1" applyFont="1" applyFill="1" applyBorder="1" applyAlignment="1">
      <alignment horizontal="center" vertical="top"/>
    </xf>
    <xf numFmtId="164" fontId="1" fillId="4" borderId="1" xfId="0" applyNumberFormat="1" applyFont="1" applyFill="1" applyBorder="1" applyAlignment="1">
      <alignment vertical="top"/>
    </xf>
    <xf numFmtId="164" fontId="1" fillId="4" borderId="1" xfId="0" applyNumberFormat="1" applyFont="1" applyFill="1" applyBorder="1" applyAlignment="1">
      <alignment horizontal="right" vertical="top"/>
    </xf>
    <xf numFmtId="164" fontId="9" fillId="4" borderId="1" xfId="0" applyNumberFormat="1" applyFont="1" applyFill="1" applyBorder="1" applyAlignment="1">
      <alignment horizontal="right" vertical="top"/>
    </xf>
    <xf numFmtId="0" fontId="15" fillId="4" borderId="1" xfId="0" applyFont="1" applyFill="1" applyBorder="1"/>
    <xf numFmtId="0" fontId="1" fillId="4" borderId="1" xfId="0" applyFont="1" applyFill="1" applyBorder="1" applyAlignment="1">
      <alignment vertical="top" wrapText="1"/>
    </xf>
    <xf numFmtId="0" fontId="1" fillId="4" borderId="3" xfId="0" applyFont="1" applyFill="1" applyBorder="1" applyAlignment="1">
      <alignment vertical="top" wrapText="1"/>
    </xf>
    <xf numFmtId="49" fontId="1" fillId="4" borderId="3" xfId="0" applyNumberFormat="1" applyFont="1" applyFill="1" applyBorder="1" applyAlignment="1">
      <alignment horizontal="center" vertical="top"/>
    </xf>
    <xf numFmtId="0" fontId="1" fillId="4" borderId="2" xfId="0" applyFont="1" applyFill="1" applyBorder="1" applyAlignment="1">
      <alignment vertical="top" wrapText="1"/>
    </xf>
    <xf numFmtId="49" fontId="1" fillId="4" borderId="1" xfId="0" applyNumberFormat="1" applyFont="1" applyFill="1" applyBorder="1" applyAlignment="1">
      <alignment horizontal="center" vertical="top" wrapText="1"/>
    </xf>
    <xf numFmtId="4" fontId="9" fillId="4" borderId="1" xfId="0" applyNumberFormat="1" applyFont="1" applyFill="1" applyBorder="1" applyAlignment="1" applyProtection="1">
      <alignment horizontal="right" vertical="top"/>
      <protection locked="0"/>
    </xf>
    <xf numFmtId="0" fontId="1" fillId="4" borderId="2" xfId="0" applyFont="1" applyFill="1" applyBorder="1" applyAlignment="1">
      <alignment horizontal="center" vertical="top"/>
    </xf>
    <xf numFmtId="0" fontId="1" fillId="4" borderId="2" xfId="0" applyFont="1" applyFill="1" applyBorder="1" applyAlignment="1">
      <alignment horizontal="center" vertical="top" wrapText="1"/>
    </xf>
    <xf numFmtId="49" fontId="1" fillId="4" borderId="2" xfId="0" applyNumberFormat="1" applyFont="1" applyFill="1" applyBorder="1" applyAlignment="1">
      <alignment horizontal="center" vertical="top" wrapText="1"/>
    </xf>
    <xf numFmtId="164" fontId="1" fillId="4" borderId="1" xfId="3" applyNumberFormat="1" applyFont="1" applyFill="1" applyBorder="1" applyAlignment="1">
      <alignment horizontal="right" vertical="top"/>
    </xf>
    <xf numFmtId="49" fontId="1" fillId="4" borderId="1" xfId="0" applyNumberFormat="1" applyFont="1" applyFill="1" applyBorder="1" applyAlignment="1">
      <alignment horizontal="left" vertical="top" wrapText="1"/>
    </xf>
    <xf numFmtId="164" fontId="1" fillId="4" borderId="1" xfId="3" applyNumberFormat="1" applyFont="1" applyFill="1" applyBorder="1" applyAlignment="1">
      <alignment vertical="top"/>
    </xf>
    <xf numFmtId="4" fontId="22" fillId="4" borderId="1" xfId="0" applyNumberFormat="1" applyFont="1" applyFill="1" applyBorder="1" applyAlignment="1" applyProtection="1">
      <alignment horizontal="right" vertical="top"/>
      <protection locked="0"/>
    </xf>
    <xf numFmtId="49" fontId="1" fillId="4" borderId="2" xfId="0" applyNumberFormat="1" applyFont="1" applyFill="1" applyBorder="1" applyAlignment="1">
      <alignment horizontal="center" vertical="top"/>
    </xf>
    <xf numFmtId="49" fontId="1" fillId="4" borderId="1" xfId="0" applyNumberFormat="1" applyFont="1" applyFill="1" applyBorder="1" applyAlignment="1">
      <alignment horizontal="center" vertical="center"/>
    </xf>
    <xf numFmtId="49" fontId="1" fillId="4" borderId="2" xfId="0" applyNumberFormat="1" applyFont="1" applyFill="1" applyBorder="1" applyAlignment="1">
      <alignment horizontal="center" vertical="center"/>
    </xf>
    <xf numFmtId="164" fontId="15" fillId="4" borderId="1" xfId="0" applyNumberFormat="1" applyFont="1" applyFill="1" applyBorder="1"/>
    <xf numFmtId="0" fontId="1" fillId="4" borderId="3" xfId="0" applyFont="1" applyFill="1" applyBorder="1" applyAlignment="1">
      <alignment horizontal="center" vertical="top" wrapText="1"/>
    </xf>
    <xf numFmtId="0" fontId="1" fillId="4" borderId="1" xfId="0" applyNumberFormat="1" applyFont="1" applyFill="1" applyBorder="1" applyAlignment="1">
      <alignment horizontal="left" vertical="top" wrapText="1"/>
    </xf>
    <xf numFmtId="0" fontId="1" fillId="4" borderId="1" xfId="0" applyFont="1" applyFill="1" applyBorder="1" applyAlignment="1">
      <alignment horizontal="left" vertical="top" wrapText="1"/>
    </xf>
    <xf numFmtId="49" fontId="1" fillId="4" borderId="2" xfId="0" applyNumberFormat="1" applyFont="1" applyFill="1" applyBorder="1" applyAlignment="1">
      <alignment horizontal="left" vertical="top" wrapText="1"/>
    </xf>
    <xf numFmtId="0" fontId="1" fillId="4" borderId="3" xfId="0" applyFont="1" applyFill="1" applyBorder="1" applyAlignment="1">
      <alignment horizontal="center" vertical="top"/>
    </xf>
    <xf numFmtId="4" fontId="1" fillId="4" borderId="1" xfId="0" applyNumberFormat="1" applyFont="1" applyFill="1" applyBorder="1" applyAlignment="1">
      <alignment vertical="top"/>
    </xf>
    <xf numFmtId="49" fontId="1" fillId="4" borderId="0" xfId="0" applyNumberFormat="1" applyFont="1" applyFill="1" applyBorder="1" applyAlignment="1">
      <alignment horizontal="left" vertical="top"/>
    </xf>
    <xf numFmtId="164" fontId="1" fillId="4" borderId="0" xfId="0" applyNumberFormat="1" applyFont="1" applyFill="1" applyBorder="1" applyAlignment="1">
      <alignment vertical="top"/>
    </xf>
    <xf numFmtId="4" fontId="1" fillId="4" borderId="0" xfId="0" applyNumberFormat="1" applyFont="1" applyFill="1" applyBorder="1" applyAlignment="1">
      <alignment vertical="top"/>
    </xf>
    <xf numFmtId="164" fontId="1" fillId="4" borderId="0" xfId="0" applyNumberFormat="1" applyFont="1" applyFill="1" applyBorder="1" applyAlignment="1">
      <alignment horizontal="right" vertical="top"/>
    </xf>
    <xf numFmtId="0" fontId="9" fillId="4" borderId="4" xfId="0" applyFont="1" applyFill="1" applyBorder="1" applyAlignment="1">
      <alignment vertical="top" wrapText="1"/>
    </xf>
    <xf numFmtId="0" fontId="9" fillId="4" borderId="3" xfId="0" applyFont="1" applyFill="1" applyBorder="1" applyAlignment="1">
      <alignment vertical="top" wrapText="1"/>
    </xf>
    <xf numFmtId="49" fontId="9" fillId="4" borderId="4" xfId="0" applyNumberFormat="1" applyFont="1" applyFill="1" applyBorder="1" applyAlignment="1">
      <alignment vertical="top"/>
    </xf>
    <xf numFmtId="49" fontId="9" fillId="4" borderId="3" xfId="0" applyNumberFormat="1" applyFont="1" applyFill="1" applyBorder="1" applyAlignment="1">
      <alignment vertical="top"/>
    </xf>
    <xf numFmtId="0" fontId="16" fillId="0" borderId="1" xfId="0" applyFont="1" applyFill="1" applyBorder="1" applyAlignment="1">
      <alignment horizontal="center" vertical="top"/>
    </xf>
    <xf numFmtId="0" fontId="1" fillId="0" borderId="3" xfId="0" applyFont="1" applyFill="1" applyBorder="1" applyAlignment="1">
      <alignment horizontal="center" vertical="top"/>
    </xf>
    <xf numFmtId="0" fontId="1" fillId="0" borderId="1" xfId="0" applyFont="1" applyFill="1" applyBorder="1" applyAlignment="1">
      <alignment horizontal="center" vertical="top" wrapText="1"/>
    </xf>
    <xf numFmtId="49" fontId="16" fillId="0" borderId="0" xfId="0" applyNumberFormat="1" applyFont="1" applyBorder="1" applyAlignment="1">
      <alignment horizontal="left"/>
    </xf>
    <xf numFmtId="49" fontId="16" fillId="0" borderId="1" xfId="0" applyNumberFormat="1" applyFont="1" applyFill="1" applyBorder="1" applyAlignment="1">
      <alignment horizontal="center" vertical="top"/>
    </xf>
    <xf numFmtId="0" fontId="16" fillId="0" borderId="1" xfId="0" applyFont="1" applyFill="1" applyBorder="1" applyAlignment="1">
      <alignment horizontal="center" vertical="top"/>
    </xf>
    <xf numFmtId="0" fontId="19" fillId="0" borderId="0" xfId="0" applyFont="1" applyAlignment="1">
      <alignment horizontal="center"/>
    </xf>
    <xf numFmtId="0" fontId="16" fillId="0" borderId="0" xfId="0" applyFont="1" applyAlignment="1">
      <alignment horizontal="center"/>
    </xf>
    <xf numFmtId="0" fontId="16" fillId="0" borderId="0" xfId="0" applyFont="1" applyAlignment="1">
      <alignment horizontal="center" wrapText="1"/>
    </xf>
    <xf numFmtId="0" fontId="18" fillId="0" borderId="0" xfId="0" applyFont="1" applyAlignment="1">
      <alignment horizontal="center"/>
    </xf>
    <xf numFmtId="0" fontId="16" fillId="0" borderId="2"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0" xfId="0" applyFont="1" applyBorder="1" applyAlignment="1">
      <alignment horizontal="center"/>
    </xf>
    <xf numFmtId="0" fontId="16" fillId="0" borderId="0" xfId="0" applyFont="1" applyAlignment="1">
      <alignment horizontal="left"/>
    </xf>
    <xf numFmtId="0" fontId="20" fillId="0" borderId="0" xfId="0" applyFont="1" applyAlignment="1">
      <alignment horizontal="center" vertical="top" wrapText="1"/>
    </xf>
    <xf numFmtId="0" fontId="19" fillId="0" borderId="0" xfId="0" applyFont="1" applyFill="1" applyAlignment="1">
      <alignment horizontal="center" wrapText="1"/>
    </xf>
    <xf numFmtId="0" fontId="16" fillId="0" borderId="1"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8" fillId="0" borderId="8" xfId="0" applyFont="1" applyFill="1" applyBorder="1" applyAlignment="1">
      <alignment horizontal="center" wrapText="1"/>
    </xf>
    <xf numFmtId="0" fontId="18" fillId="0" borderId="9" xfId="0" applyFont="1" applyFill="1" applyBorder="1" applyAlignment="1">
      <alignment horizontal="center" wrapText="1"/>
    </xf>
    <xf numFmtId="0" fontId="18" fillId="0" borderId="10" xfId="0" applyFont="1" applyFill="1" applyBorder="1" applyAlignment="1">
      <alignment horizontal="center" wrapText="1"/>
    </xf>
    <xf numFmtId="0" fontId="18" fillId="0" borderId="8" xfId="0" applyFont="1" applyBorder="1" applyAlignment="1">
      <alignment horizontal="center" vertical="top"/>
    </xf>
    <xf numFmtId="0" fontId="18" fillId="0" borderId="9" xfId="0" applyFont="1" applyBorder="1" applyAlignment="1">
      <alignment horizontal="center" vertical="top"/>
    </xf>
    <xf numFmtId="0" fontId="18" fillId="0" borderId="10" xfId="0" applyFont="1" applyBorder="1" applyAlignment="1">
      <alignment horizontal="center" vertical="top"/>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top" wrapText="1"/>
    </xf>
    <xf numFmtId="0" fontId="18" fillId="0" borderId="9" xfId="0" applyFont="1" applyBorder="1" applyAlignment="1">
      <alignment horizontal="center" vertical="top" wrapText="1"/>
    </xf>
    <xf numFmtId="0" fontId="18" fillId="0" borderId="10" xfId="0" applyFont="1" applyBorder="1" applyAlignment="1">
      <alignment horizontal="center" vertical="top" wrapText="1"/>
    </xf>
    <xf numFmtId="49" fontId="1" fillId="0" borderId="0" xfId="0" applyNumberFormat="1" applyFont="1" applyFill="1" applyAlignment="1">
      <alignment horizontal="left" wrapText="1"/>
    </xf>
    <xf numFmtId="0" fontId="1" fillId="0" borderId="0" xfId="0" applyFont="1" applyFill="1" applyAlignment="1">
      <alignment horizontal="center" wrapText="1"/>
    </xf>
    <xf numFmtId="0" fontId="1" fillId="0" borderId="0" xfId="0" applyFont="1" applyFill="1" applyAlignment="1">
      <alignment horizontal="center" vertical="top"/>
    </xf>
    <xf numFmtId="0" fontId="31" fillId="0" borderId="0" xfId="0" applyFont="1" applyFill="1" applyAlignment="1">
      <alignment horizontal="center"/>
    </xf>
    <xf numFmtId="0" fontId="1" fillId="0" borderId="0" xfId="0" applyFont="1" applyFill="1" applyAlignment="1">
      <alignment horizontal="left"/>
    </xf>
    <xf numFmtId="0" fontId="33" fillId="0" borderId="0" xfId="0" applyFont="1" applyFill="1" applyAlignment="1">
      <alignment horizontal="center" vertical="top"/>
    </xf>
    <xf numFmtId="0" fontId="32" fillId="0" borderId="0" xfId="0" applyFont="1" applyFill="1" applyAlignment="1">
      <alignment horizontal="center"/>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xf>
    <xf numFmtId="49" fontId="1" fillId="0" borderId="1" xfId="0" applyNumberFormat="1" applyFont="1" applyFill="1" applyBorder="1" applyAlignment="1">
      <alignment horizontal="center" wrapText="1"/>
    </xf>
    <xf numFmtId="49" fontId="1" fillId="0" borderId="2" xfId="0" applyNumberFormat="1" applyFont="1" applyFill="1" applyBorder="1" applyAlignment="1">
      <alignment horizontal="center" vertical="center"/>
    </xf>
    <xf numFmtId="49" fontId="1" fillId="0" borderId="4" xfId="0" applyNumberFormat="1" applyFont="1" applyFill="1" applyBorder="1" applyAlignment="1">
      <alignment horizontal="center" vertical="center"/>
    </xf>
    <xf numFmtId="49" fontId="1" fillId="0" borderId="3" xfId="0" applyNumberFormat="1" applyFont="1" applyFill="1" applyBorder="1" applyAlignment="1">
      <alignment horizontal="center" vertical="center"/>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2" xfId="0" applyFont="1" applyFill="1" applyBorder="1" applyAlignment="1">
      <alignment horizontal="center" vertical="top"/>
    </xf>
    <xf numFmtId="0" fontId="1" fillId="0" borderId="4" xfId="0" applyFont="1" applyFill="1" applyBorder="1" applyAlignment="1">
      <alignment horizontal="center" vertical="top"/>
    </xf>
    <xf numFmtId="0" fontId="1" fillId="0" borderId="3" xfId="0" applyFont="1" applyFill="1" applyBorder="1" applyAlignment="1">
      <alignment horizontal="center" vertical="top"/>
    </xf>
    <xf numFmtId="49" fontId="1" fillId="0" borderId="2"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49" fontId="22" fillId="4" borderId="0" xfId="0" applyNumberFormat="1" applyFont="1" applyFill="1" applyAlignment="1">
      <alignment horizontal="left"/>
    </xf>
    <xf numFmtId="0" fontId="25" fillId="4" borderId="0" xfId="0" applyFont="1" applyFill="1" applyAlignment="1">
      <alignment horizontal="center"/>
    </xf>
    <xf numFmtId="0" fontId="16" fillId="4" borderId="0" xfId="0" applyFont="1" applyFill="1" applyAlignment="1">
      <alignment horizontal="center"/>
    </xf>
    <xf numFmtId="0" fontId="16" fillId="4" borderId="0" xfId="0" applyFont="1" applyFill="1" applyAlignment="1">
      <alignment horizontal="center" wrapText="1"/>
    </xf>
    <xf numFmtId="0" fontId="24" fillId="4" borderId="0" xfId="0" applyFont="1" applyFill="1" applyAlignment="1">
      <alignment horizontal="center" wrapText="1"/>
    </xf>
    <xf numFmtId="0" fontId="26" fillId="4" borderId="0" xfId="0" applyFont="1" applyFill="1" applyAlignment="1">
      <alignment horizontal="center" vertical="top"/>
    </xf>
    <xf numFmtId="0" fontId="26" fillId="4" borderId="0" xfId="0" applyFont="1" applyFill="1" applyAlignment="1">
      <alignment horizontal="center"/>
    </xf>
    <xf numFmtId="0" fontId="6" fillId="4" borderId="1" xfId="0" applyFont="1" applyFill="1" applyBorder="1" applyAlignment="1">
      <alignment horizontal="center" vertical="top" wrapText="1"/>
    </xf>
    <xf numFmtId="0" fontId="6" fillId="4" borderId="1" xfId="0" applyFont="1" applyFill="1" applyBorder="1" applyAlignment="1">
      <alignment horizontal="left" vertical="top" wrapText="1"/>
    </xf>
    <xf numFmtId="0" fontId="6" fillId="4" borderId="9" xfId="0" applyFont="1" applyFill="1" applyBorder="1" applyAlignment="1">
      <alignment horizontal="center" vertical="top" wrapText="1"/>
    </xf>
    <xf numFmtId="0" fontId="6" fillId="4" borderId="10" xfId="0" applyFont="1" applyFill="1" applyBorder="1" applyAlignment="1">
      <alignment horizontal="center" vertical="top" wrapText="1"/>
    </xf>
    <xf numFmtId="164" fontId="6" fillId="4" borderId="2" xfId="0" applyNumberFormat="1" applyFont="1" applyFill="1" applyBorder="1" applyAlignment="1">
      <alignment horizontal="center" vertical="top" wrapText="1"/>
    </xf>
    <xf numFmtId="164" fontId="6" fillId="4" borderId="3" xfId="0" applyNumberFormat="1" applyFont="1" applyFill="1" applyBorder="1" applyAlignment="1">
      <alignment horizontal="center" vertical="top" wrapText="1"/>
    </xf>
    <xf numFmtId="0" fontId="5" fillId="4" borderId="0" xfId="0" applyFont="1" applyFill="1" applyAlignment="1">
      <alignment horizontal="center"/>
    </xf>
    <xf numFmtId="164" fontId="6" fillId="4" borderId="1" xfId="0" applyNumberFormat="1" applyFont="1" applyFill="1" applyBorder="1" applyAlignment="1">
      <alignment horizontal="center" vertical="top" wrapText="1"/>
    </xf>
    <xf numFmtId="0" fontId="22" fillId="4" borderId="9" xfId="0" applyFont="1" applyFill="1" applyBorder="1" applyAlignment="1">
      <alignment horizontal="center" vertical="top" wrapText="1"/>
    </xf>
    <xf numFmtId="0" fontId="22" fillId="4" borderId="10" xfId="0" applyFont="1" applyFill="1" applyBorder="1" applyAlignment="1">
      <alignment horizontal="center" vertical="top" wrapText="1"/>
    </xf>
    <xf numFmtId="0" fontId="22" fillId="4" borderId="1" xfId="0" applyFont="1" applyFill="1" applyBorder="1" applyAlignment="1">
      <alignment horizontal="center" vertical="top" wrapText="1"/>
    </xf>
    <xf numFmtId="0" fontId="6" fillId="4" borderId="0" xfId="0" applyFont="1" applyFill="1" applyAlignment="1">
      <alignment horizontal="left"/>
    </xf>
    <xf numFmtId="0" fontId="6" fillId="4" borderId="0" xfId="0" applyFont="1" applyFill="1" applyAlignment="1">
      <alignment horizontal="left" vertical="top" wrapText="1"/>
    </xf>
    <xf numFmtId="0" fontId="16" fillId="4" borderId="0" xfId="0" applyFont="1" applyFill="1" applyAlignment="1">
      <alignment horizontal="center" vertical="top" wrapText="1"/>
    </xf>
    <xf numFmtId="0" fontId="22" fillId="4" borderId="0" xfId="0" applyFont="1" applyFill="1" applyAlignment="1">
      <alignment horizontal="left"/>
    </xf>
    <xf numFmtId="0" fontId="22" fillId="4" borderId="8" xfId="0" applyFont="1" applyFill="1" applyBorder="1" applyAlignment="1">
      <alignment horizontal="center" vertical="top" wrapText="1"/>
    </xf>
    <xf numFmtId="0" fontId="22" fillId="4" borderId="2" xfId="0" applyFont="1" applyFill="1" applyBorder="1" applyAlignment="1">
      <alignment horizontal="center" vertical="top" wrapText="1"/>
    </xf>
    <xf numFmtId="0" fontId="22" fillId="4" borderId="3" xfId="0" applyFont="1" applyFill="1" applyBorder="1" applyAlignment="1">
      <alignment horizontal="center" vertical="top" wrapText="1"/>
    </xf>
    <xf numFmtId="0" fontId="22" fillId="0" borderId="11" xfId="0" applyFont="1" applyFill="1" applyBorder="1" applyAlignment="1">
      <alignment horizontal="center"/>
    </xf>
    <xf numFmtId="165" fontId="22" fillId="0" borderId="2" xfId="3" applyNumberFormat="1" applyFont="1" applyFill="1" applyBorder="1" applyAlignment="1">
      <alignment horizontal="center" vertical="top"/>
    </xf>
    <xf numFmtId="165" fontId="22" fillId="0" borderId="4" xfId="3" applyNumberFormat="1" applyFont="1" applyFill="1" applyBorder="1" applyAlignment="1">
      <alignment horizontal="center" vertical="top"/>
    </xf>
    <xf numFmtId="165" fontId="22" fillId="0" borderId="3" xfId="3" applyNumberFormat="1" applyFont="1" applyFill="1" applyBorder="1" applyAlignment="1">
      <alignment horizontal="center" vertical="top"/>
    </xf>
    <xf numFmtId="165" fontId="22" fillId="4" borderId="2" xfId="3" applyNumberFormat="1" applyFont="1" applyFill="1" applyBorder="1" applyAlignment="1">
      <alignment horizontal="center" vertical="top"/>
    </xf>
    <xf numFmtId="165" fontId="22" fillId="4" borderId="4" xfId="3" applyNumberFormat="1" applyFont="1" applyFill="1" applyBorder="1" applyAlignment="1">
      <alignment horizontal="center" vertical="top"/>
    </xf>
    <xf numFmtId="165" fontId="22" fillId="4" borderId="3" xfId="3" applyNumberFormat="1" applyFont="1" applyFill="1" applyBorder="1" applyAlignment="1">
      <alignment horizontal="center" vertical="top"/>
    </xf>
    <xf numFmtId="0" fontId="22" fillId="0" borderId="2"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3" xfId="0" applyFont="1" applyFill="1" applyBorder="1" applyAlignment="1">
      <alignment horizontal="left" vertical="top" wrapText="1"/>
    </xf>
    <xf numFmtId="0" fontId="0" fillId="0" borderId="4" xfId="0" applyFill="1" applyBorder="1"/>
    <xf numFmtId="0" fontId="0" fillId="0" borderId="3" xfId="0" applyFill="1" applyBorder="1"/>
    <xf numFmtId="49" fontId="22" fillId="0" borderId="2" xfId="0" applyNumberFormat="1" applyFont="1" applyFill="1" applyBorder="1" applyAlignment="1">
      <alignment horizontal="center" vertical="top"/>
    </xf>
    <xf numFmtId="49" fontId="22" fillId="0" borderId="4" xfId="0" applyNumberFormat="1" applyFont="1" applyFill="1" applyBorder="1" applyAlignment="1">
      <alignment horizontal="center" vertical="top"/>
    </xf>
    <xf numFmtId="49" fontId="22" fillId="0" borderId="3" xfId="0" applyNumberFormat="1" applyFont="1" applyFill="1" applyBorder="1" applyAlignment="1">
      <alignment horizontal="center" vertical="top"/>
    </xf>
    <xf numFmtId="0" fontId="9" fillId="4" borderId="0" xfId="0" applyFont="1" applyFill="1" applyAlignment="1">
      <alignment horizontal="center" vertical="top" wrapText="1"/>
    </xf>
    <xf numFmtId="0" fontId="1" fillId="4" borderId="2" xfId="0" applyFont="1" applyFill="1" applyBorder="1" applyAlignment="1">
      <alignment horizontal="left" vertical="top" wrapText="1"/>
    </xf>
    <xf numFmtId="0" fontId="1" fillId="4" borderId="3" xfId="0" applyFont="1" applyFill="1" applyBorder="1" applyAlignment="1">
      <alignment horizontal="left" vertical="top" wrapText="1"/>
    </xf>
    <xf numFmtId="0" fontId="1" fillId="4" borderId="1" xfId="0" applyFont="1" applyFill="1" applyBorder="1" applyAlignment="1">
      <alignment horizontal="left" vertical="top" wrapText="1"/>
    </xf>
    <xf numFmtId="49" fontId="1" fillId="4" borderId="0" xfId="0" applyNumberFormat="1" applyFont="1" applyFill="1" applyBorder="1" applyAlignment="1">
      <alignment horizontal="center" vertical="top"/>
    </xf>
    <xf numFmtId="49" fontId="1" fillId="4" borderId="2" xfId="0" applyNumberFormat="1" applyFont="1" applyFill="1" applyBorder="1" applyAlignment="1">
      <alignment horizontal="center" vertical="top"/>
    </xf>
    <xf numFmtId="49" fontId="1" fillId="4" borderId="3" xfId="0" applyNumberFormat="1" applyFont="1" applyFill="1" applyBorder="1" applyAlignment="1">
      <alignment horizontal="center" vertical="top"/>
    </xf>
    <xf numFmtId="0" fontId="1" fillId="4" borderId="2" xfId="0" applyFont="1" applyFill="1" applyBorder="1" applyAlignment="1">
      <alignment horizontal="center" vertical="top"/>
    </xf>
    <xf numFmtId="0" fontId="1" fillId="4" borderId="3" xfId="0" applyFont="1" applyFill="1" applyBorder="1" applyAlignment="1">
      <alignment horizontal="center" vertical="top"/>
    </xf>
    <xf numFmtId="49" fontId="1" fillId="4" borderId="1" xfId="0" applyNumberFormat="1" applyFont="1" applyFill="1" applyBorder="1" applyAlignment="1">
      <alignment horizontal="center" vertical="top"/>
    </xf>
    <xf numFmtId="49" fontId="1" fillId="4" borderId="4" xfId="0" applyNumberFormat="1" applyFont="1" applyFill="1" applyBorder="1" applyAlignment="1">
      <alignment horizontal="center" vertical="top"/>
    </xf>
    <xf numFmtId="0" fontId="1" fillId="4" borderId="4" xfId="0" applyFont="1" applyFill="1" applyBorder="1" applyAlignment="1">
      <alignment horizontal="left" vertical="top" wrapText="1"/>
    </xf>
    <xf numFmtId="0" fontId="1" fillId="4" borderId="2" xfId="0" applyNumberFormat="1" applyFont="1" applyFill="1" applyBorder="1" applyAlignment="1">
      <alignment horizontal="left" vertical="top" wrapText="1"/>
    </xf>
    <xf numFmtId="0" fontId="1" fillId="4" borderId="4" xfId="0" applyNumberFormat="1" applyFont="1" applyFill="1" applyBorder="1" applyAlignment="1">
      <alignment horizontal="left" vertical="top" wrapText="1"/>
    </xf>
    <xf numFmtId="0" fontId="1" fillId="4" borderId="3" xfId="0" applyNumberFormat="1" applyFont="1" applyFill="1" applyBorder="1" applyAlignment="1">
      <alignment horizontal="left" vertical="top" wrapText="1"/>
    </xf>
    <xf numFmtId="49" fontId="1" fillId="4" borderId="2" xfId="0" applyNumberFormat="1" applyFont="1" applyFill="1" applyBorder="1" applyAlignment="1">
      <alignment horizontal="left" vertical="top"/>
    </xf>
    <xf numFmtId="49" fontId="1" fillId="4" borderId="3" xfId="0" applyNumberFormat="1" applyFont="1" applyFill="1" applyBorder="1" applyAlignment="1">
      <alignment horizontal="left" vertical="top"/>
    </xf>
    <xf numFmtId="0" fontId="1" fillId="4" borderId="2" xfId="0" applyFont="1" applyFill="1" applyBorder="1" applyAlignment="1">
      <alignment horizontal="center" vertical="top" wrapText="1"/>
    </xf>
    <xf numFmtId="0" fontId="1" fillId="4" borderId="4" xfId="0" applyFont="1" applyFill="1" applyBorder="1" applyAlignment="1">
      <alignment horizontal="center" vertical="top" wrapText="1"/>
    </xf>
    <xf numFmtId="0" fontId="1" fillId="4" borderId="3" xfId="0" applyFont="1" applyFill="1" applyBorder="1" applyAlignment="1">
      <alignment horizontal="center" vertical="top" wrapText="1"/>
    </xf>
    <xf numFmtId="49" fontId="1" fillId="4" borderId="2" xfId="0" applyNumberFormat="1" applyFont="1" applyFill="1" applyBorder="1" applyAlignment="1">
      <alignment horizontal="center" vertical="center"/>
    </xf>
    <xf numFmtId="49" fontId="1" fillId="4" borderId="4" xfId="0" applyNumberFormat="1" applyFont="1" applyFill="1" applyBorder="1" applyAlignment="1">
      <alignment horizontal="center" vertical="center"/>
    </xf>
    <xf numFmtId="49" fontId="1" fillId="4" borderId="3" xfId="0" applyNumberFormat="1" applyFont="1" applyFill="1" applyBorder="1" applyAlignment="1">
      <alignment horizontal="center" vertical="center"/>
    </xf>
    <xf numFmtId="0" fontId="1" fillId="4" borderId="4" xfId="0" applyFont="1" applyFill="1" applyBorder="1" applyAlignment="1">
      <alignment horizontal="center" vertical="top"/>
    </xf>
    <xf numFmtId="0" fontId="1" fillId="4" borderId="0" xfId="0" applyFont="1" applyFill="1" applyAlignment="1">
      <alignment horizontal="left"/>
    </xf>
    <xf numFmtId="0" fontId="7" fillId="4" borderId="0" xfId="0" applyFont="1" applyFill="1" applyAlignment="1">
      <alignment horizontal="center"/>
    </xf>
    <xf numFmtId="0" fontId="11" fillId="4" borderId="0" xfId="0" applyFont="1" applyFill="1" applyAlignment="1">
      <alignment horizontal="center" vertical="top"/>
    </xf>
    <xf numFmtId="0" fontId="9" fillId="4" borderId="1" xfId="0" applyFont="1" applyFill="1" applyBorder="1" applyAlignment="1">
      <alignment horizontal="center" vertical="top" wrapText="1"/>
    </xf>
    <xf numFmtId="0" fontId="1" fillId="4" borderId="2"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4" fontId="14" fillId="4" borderId="1" xfId="0" applyNumberFormat="1" applyFont="1" applyFill="1" applyBorder="1" applyAlignment="1">
      <alignment horizontal="center" vertical="center" wrapText="1"/>
    </xf>
    <xf numFmtId="0" fontId="9" fillId="4" borderId="0" xfId="0" applyFont="1" applyFill="1" applyAlignment="1">
      <alignment horizontal="center"/>
    </xf>
    <xf numFmtId="0" fontId="10" fillId="4" borderId="0" xfId="0" applyFont="1" applyFill="1" applyAlignment="1">
      <alignment horizontal="center" vertical="top" wrapText="1"/>
    </xf>
    <xf numFmtId="49" fontId="9" fillId="4" borderId="2" xfId="0" applyNumberFormat="1" applyFont="1" applyFill="1" applyBorder="1" applyAlignment="1">
      <alignment horizontal="center" vertical="top"/>
    </xf>
    <xf numFmtId="49" fontId="9" fillId="4" borderId="4" xfId="0" applyNumberFormat="1" applyFont="1" applyFill="1" applyBorder="1" applyAlignment="1">
      <alignment horizontal="center" vertical="top"/>
    </xf>
    <xf numFmtId="49" fontId="9" fillId="4" borderId="3" xfId="0" applyNumberFormat="1" applyFont="1" applyFill="1" applyBorder="1" applyAlignment="1">
      <alignment horizontal="center" vertical="top"/>
    </xf>
    <xf numFmtId="0" fontId="9" fillId="4" borderId="2" xfId="0" applyFont="1" applyFill="1" applyBorder="1" applyAlignment="1">
      <alignment horizontal="center" vertical="top" wrapText="1"/>
    </xf>
    <xf numFmtId="0" fontId="9" fillId="4" borderId="4" xfId="0" applyFont="1" applyFill="1" applyBorder="1" applyAlignment="1">
      <alignment horizontal="center" vertical="top" wrapText="1"/>
    </xf>
    <xf numFmtId="0" fontId="9" fillId="4" borderId="3" xfId="0" applyFont="1" applyFill="1" applyBorder="1" applyAlignment="1">
      <alignment horizontal="center" vertical="top" wrapText="1"/>
    </xf>
    <xf numFmtId="0" fontId="1" fillId="4" borderId="8" xfId="0" applyFont="1" applyFill="1" applyBorder="1" applyAlignment="1">
      <alignment horizontal="center" vertical="top" wrapText="1"/>
    </xf>
    <xf numFmtId="0" fontId="1" fillId="4" borderId="9" xfId="0" applyFont="1" applyFill="1" applyBorder="1" applyAlignment="1">
      <alignment horizontal="center" vertical="top" wrapText="1"/>
    </xf>
    <xf numFmtId="0" fontId="1" fillId="4" borderId="10" xfId="0" applyFont="1" applyFill="1" applyBorder="1" applyAlignment="1">
      <alignment horizontal="center" vertical="top" wrapText="1"/>
    </xf>
    <xf numFmtId="0" fontId="10" fillId="4" borderId="0" xfId="0" applyFont="1" applyFill="1" applyAlignment="1">
      <alignment horizontal="center" vertical="center" wrapText="1"/>
    </xf>
    <xf numFmtId="0" fontId="0" fillId="4" borderId="0" xfId="0" applyFill="1" applyAlignment="1">
      <alignment horizontal="left"/>
    </xf>
    <xf numFmtId="49" fontId="0" fillId="4" borderId="0" xfId="0" applyNumberFormat="1" applyFill="1" applyAlignment="1">
      <alignment horizontal="center" vertical="top"/>
    </xf>
    <xf numFmtId="0" fontId="7" fillId="4" borderId="0" xfId="0" applyFont="1" applyFill="1" applyAlignment="1">
      <alignment horizontal="left"/>
    </xf>
    <xf numFmtId="0" fontId="0" fillId="4" borderId="0" xfId="0" applyFill="1" applyAlignment="1"/>
    <xf numFmtId="0" fontId="12" fillId="4" borderId="6" xfId="0" applyFont="1" applyFill="1" applyBorder="1" applyAlignment="1">
      <alignment horizontal="center" vertical="top" wrapText="1"/>
    </xf>
    <xf numFmtId="0" fontId="12" fillId="4" borderId="7" xfId="0" applyFont="1" applyFill="1" applyBorder="1" applyAlignment="1">
      <alignment horizontal="center" vertical="top" wrapText="1"/>
    </xf>
    <xf numFmtId="0" fontId="1" fillId="4" borderId="1" xfId="0" applyFont="1" applyFill="1" applyBorder="1" applyAlignment="1">
      <alignment horizontal="center" vertical="top" wrapText="1"/>
    </xf>
    <xf numFmtId="0" fontId="28" fillId="0" borderId="3" xfId="0" applyFont="1" applyFill="1" applyBorder="1" applyAlignment="1">
      <alignment horizontal="left" vertical="top" wrapText="1"/>
    </xf>
  </cellXfs>
  <cellStyles count="10">
    <cellStyle name="xl24" xfId="9"/>
    <cellStyle name="xl33" xfId="4"/>
    <cellStyle name="xl35" xfId="5"/>
    <cellStyle name="xl36" xfId="1"/>
    <cellStyle name="xl38" xfId="7"/>
    <cellStyle name="xl40" xfId="8"/>
    <cellStyle name="xl41 2" xfId="2"/>
    <cellStyle name="xl60" xfId="6"/>
    <cellStyle name="Обычный" xfId="0" builtinId="0"/>
    <cellStyle name="Обычный 2" xfId="3"/>
  </cellStyles>
  <dxfs count="0"/>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1043;&#1086;&#1089;&#1087;&#1088;&#1086;&#1075;&#1088;&#1072;&#1084;&#1084;&#1072;%20&#1057;&#1086;&#1094;%20&#1087;&#1086;&#1076;&#1076;&#1077;&#1088;&#1078;&#1082;&#1072;%20&#1075;&#1088;&#1072;&#1078;&#1076;&#1072;&#1085;%20(&#1086;&#1082;&#1085;&#1095;%20&#1074;&#1072;&#1088;)/2016%20&#1075;&#1086;&#1076;%20&#1074;&#1085;&#1077;&#1089;&#1077;&#1085;&#1080;&#1077;%20&#1080;&#1079;&#1084;%20&#1074;%20&#1075;&#1086;&#1089;&#1087;&#1088;&#1086;&#1075;&#1088;&#1072;&#1084;&#1084;&#1091;%20&#1057;&#1086;&#1094;%20&#1087;&#1086;&#1076;&#1076;&#1077;&#1088;&#1082;&#1078;&#1082;&#1072;%20&#1075;&#1088;&#1072;&#1078;&#1076;&#1072;&#1085;/2016%20&#1075;&#1086;&#1076;%20&#1055;&#1088;&#1080;&#1083;&#1086;&#1078;&#1077;&#1085;&#1080;&#1103;%20&#1082;%20&#1043;&#1055;%20%20&#1085;&#1072;%202015-2020%20&#1074;&#1085;&#1077;&#1089;&#1085;&#1080;&#1077;%20&#1080;&#1079;&#1084;&#1080;&#1085;&#1077;&#1085;&#1080;&#108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1043;&#1086;&#1089;&#1087;&#1088;&#1086;&#1075;&#1088;&#1072;&#1084;&#1084;&#1072;%20&#1057;&#1086;&#1094;%20&#1087;&#1086;&#1076;&#1076;&#1077;&#1088;&#1078;&#1082;&#1072;%20&#1075;&#1088;&#1072;&#1078;&#1076;&#1072;&#1085;%20(&#1086;&#1082;&#1085;&#1095;%20&#1074;&#1072;&#1088;)/2016%20&#1075;&#1086;&#1076;%20&#1074;&#1085;&#1077;&#1089;&#1077;&#1085;&#1080;&#1077;%20&#1080;&#1079;&#1084;%20&#1074;%20&#1075;&#1086;&#1089;&#1087;&#1088;&#1086;&#1075;&#1088;&#1072;&#1084;&#1084;&#1091;%20&#1057;&#1086;&#1094;%20&#1087;&#1086;&#1076;&#1076;&#1077;&#1088;&#1082;&#1078;&#1082;&#1072;%20&#1075;&#1088;&#1072;&#1078;&#1076;&#1072;&#1085;/&#1055;&#1088;&#1080;&#1083;&#1086;&#1078;&#1077;&#1085;&#1080;&#1077;%20&#1082;%20&#1087;&#1088;&#1086;&#1077;&#1082;&#1090;&#1091;%20&#1087;&#1086;&#1089;&#1090;&#1072;&#1085;&#1086;&#1074;&#1083;&#1077;&#1085;&#1080;&#1103;%20&#1086;%20&#1074;&#1085;&#1077;&#1089;&#1077;&#1085;&#1080;&#1080;%20&#1080;&#1079;&#1084;%20&#1055;&#1055;&#1059;&#1056;%20410%20-%20&#1082;&#1086;&#1087;&#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87;&#1086;&#1083;&#1100;&#1079;&#1086;&#1074;&#1072;&#1090;&#1077;&#1083;&#1100;/AppData/Roaming/Microsoft/Excel/2017%201%20&#1055;&#1088;&#1080;&#1083;&#1086;&#1078;&#1077;&#1085;&#1080;&#1077;%20&#1082;%20&#1087;&#1088;&#1086;&#1077;&#1082;&#1090;&#1091;%20&#1086;%20&#1074;&#1085;&#1077;&#1089;&#1077;&#1085;&#1080;&#1080;%20&#1080;&#1079;&#1084;%20&#1055;&#1055;&#1059;&#1056;%20410%20(&#1089;%201-&#1056;&#104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ork_mszn/&#1043;&#1054;&#1057;&#1055;&#1056;&#1054;&#1043;&#1056;&#1040;&#1052;&#1052;&#1040;/&#1048;&#1079;&#1084;&#1077;&#1085;&#1077;&#1085;&#1080;&#1103;%202018/&#1043;&#1047;%20&#1076;&#1083;&#1103;%20&#1052;&#1086;&#1088;&#1086;&#1079;&#1086;&#1074;&#1086;&#108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1040;&#1076;&#1084;&#1080;&#1085;&#1080;&#1089;&#1090;&#1088;&#1072;&#1090;&#1086;&#1088;.MAR-PC/AppData/Local/Microsoft/Windows/Temporary%20Internet%20Files/Content.Outlook/LN98FXDY/&#1055;&#1088;&#1080;&#1083;&#1086;&#1078;&#1077;&#1085;&#1080;&#1103;%20%201-6%20&#1082;%20&#1043;&#1055;%20&#1089;%20&#1091;&#1095;&#1077;&#1090;&#1086;&#1084;%20%201-&#1056;&#104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1040;&#1076;&#1084;&#1080;&#1085;&#1080;&#1089;&#1090;&#1088;&#1072;&#1090;&#1086;&#1088;.MAR-PC/AppData/Local/Microsoft/Windows/Temporary%20Internet%20Files/Content.Outlook/LN98FXDY/&#1089;&#1087;&#1088;&#1072;&#1074;&#1082;&#1072;%20&#1085;&#1072;%2025.09.18%20(&#1087;&#1086;%20&#1062;&#1057;&#1056;)(&#1089;%20&#1091;&#1095;%20&#1087;&#1086;&#1087;&#1088;&#1072;&#1074;&#1086;&#1082;%20&#1074;%20&#1073;&#1102;&#1076;&#1078;&#1077;&#109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work_mszn/&#1043;&#1054;&#1057;&#1055;&#1056;&#1054;&#1043;&#1056;&#1040;&#1052;&#1052;&#1040;/&#1048;&#1079;&#1084;&#1077;&#1085;&#1077;&#1085;&#1080;&#1103;%202018/&#1057;&#1087;&#1088;&#1072;&#1074;&#1082;&#1072;%20&#1079;&#1072;%202017%20&#1075;&#1086;&#1076;%20&#1087;&#1086;%20&#1043;&#1055;%20&#1057;&#1086;&#1094;%20&#1087;&#1086;&#1076;&#1076;%20&#1075;&#1088;&#1072;&#1078;&#1076;&#1072;&#1085;%20(&#1086;&#1090;&#1076;&#1077;&#1083;&#1100;&#1085;&#1086;%20&#1060;&#1041;%20&#1080;%20&#1056;&#1041;)%20(&#1058;&#1054;&#1063;&#1053;&#105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целев показ"/>
      <sheetName val="осн мерп"/>
      <sheetName val="меры "/>
      <sheetName val="гос задания"/>
      <sheetName val="ресурсн обеспечен"/>
      <sheetName val="оценка ресурс обеспечения"/>
    </sheetNames>
    <sheetDataSet>
      <sheetData sheetId="0"/>
      <sheetData sheetId="1"/>
      <sheetData sheetId="2"/>
      <sheetData sheetId="3"/>
      <sheetData sheetId="4">
        <row r="23">
          <cell r="L23">
            <v>574983.19999999995</v>
          </cell>
        </row>
        <row r="24">
          <cell r="L24">
            <v>92023.9</v>
          </cell>
        </row>
        <row r="25">
          <cell r="L25">
            <v>9163.9</v>
          </cell>
        </row>
        <row r="26">
          <cell r="L26">
            <v>1270080</v>
          </cell>
        </row>
        <row r="27">
          <cell r="L27">
            <v>13559.9</v>
          </cell>
        </row>
        <row r="28">
          <cell r="L28">
            <v>1281151.5</v>
          </cell>
        </row>
        <row r="29">
          <cell r="L29">
            <v>54458.1</v>
          </cell>
        </row>
        <row r="31">
          <cell r="L31">
            <v>7758</v>
          </cell>
        </row>
        <row r="62">
          <cell r="L62">
            <v>19472.900000000001</v>
          </cell>
        </row>
        <row r="64">
          <cell r="L64">
            <v>525.20000000000005</v>
          </cell>
        </row>
        <row r="78">
          <cell r="L78">
            <v>5000</v>
          </cell>
        </row>
        <row r="79">
          <cell r="L79">
            <v>309278.40000000002</v>
          </cell>
        </row>
        <row r="80">
          <cell r="L80">
            <v>30855.4</v>
          </cell>
        </row>
        <row r="101">
          <cell r="N101">
            <v>20000</v>
          </cell>
        </row>
        <row r="110">
          <cell r="L110">
            <v>20000</v>
          </cell>
        </row>
        <row r="161">
          <cell r="L161">
            <v>166.2</v>
          </cell>
        </row>
        <row r="162">
          <cell r="L162">
            <v>248</v>
          </cell>
        </row>
        <row r="163">
          <cell r="L163">
            <v>184.6</v>
          </cell>
        </row>
        <row r="166">
          <cell r="L166">
            <v>3900</v>
          </cell>
        </row>
      </sheetData>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целев показ"/>
      <sheetName val="осн мерп"/>
      <sheetName val="гос задание"/>
      <sheetName val="меры"/>
      <sheetName val="ресурсн обеспечен"/>
      <sheetName val="оценка ресурс обеспечения"/>
    </sheetNames>
    <sheetDataSet>
      <sheetData sheetId="0" refreshError="1"/>
      <sheetData sheetId="1" refreshError="1"/>
      <sheetData sheetId="2" refreshError="1"/>
      <sheetData sheetId="3" refreshError="1"/>
      <sheetData sheetId="4" refreshError="1">
        <row r="83">
          <cell r="E83" t="str">
            <v>Выплата компенсации расходов на приобретение одежды и обуви для школьников из малоимущих семей, а также семей оказавшихся в трудной жизненной ситуации</v>
          </cell>
        </row>
        <row r="96">
          <cell r="L96">
            <v>7849.5</v>
          </cell>
        </row>
        <row r="106">
          <cell r="E106" t="str">
            <v>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v>
          </cell>
        </row>
        <row r="108">
          <cell r="E108" t="str">
            <v>Денежные компенсационные выплаты за питание детям-сиротам и детям, оставшимся без попечения родителей</v>
          </cell>
        </row>
        <row r="109">
          <cell r="E109" t="str">
            <v>Денежные компенсационные выплаты по обеспечению детей-сирот и детей, оставшихся без попечения родителей, в том числе выпускников, одеждой и обувью</v>
          </cell>
        </row>
        <row r="110">
          <cell r="E110" t="str">
            <v>Выплаты единовременного денежного пособия выпускникам образовательных организаций из числа детей-сирот и детей, оставшихся без попечения родителей</v>
          </cell>
        </row>
        <row r="169">
          <cell r="L169">
            <v>145145.5</v>
          </cell>
        </row>
        <row r="170">
          <cell r="L170">
            <v>44415</v>
          </cell>
        </row>
        <row r="172">
          <cell r="L172">
            <v>58967.1</v>
          </cell>
        </row>
        <row r="173">
          <cell r="L173">
            <v>370261.6</v>
          </cell>
        </row>
        <row r="174">
          <cell r="L174">
            <v>122834</v>
          </cell>
        </row>
        <row r="175">
          <cell r="L175">
            <v>40711.699999999997</v>
          </cell>
        </row>
        <row r="176">
          <cell r="L176">
            <v>10043.299999999999</v>
          </cell>
        </row>
        <row r="177">
          <cell r="L177">
            <v>668638.1</v>
          </cell>
        </row>
        <row r="178">
          <cell r="L178">
            <v>11371.1</v>
          </cell>
        </row>
        <row r="179">
          <cell r="L179">
            <v>3257.1</v>
          </cell>
        </row>
      </sheetData>
      <sheetData sheetId="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целев показ"/>
      <sheetName val="осн мерп"/>
      <sheetName val="прил 3 меры"/>
      <sheetName val="прил 4 гос. задание"/>
      <sheetName val="ресурсн обеспечен "/>
      <sheetName val="оценка ресурс обеспечения "/>
      <sheetName val="копия прил 5"/>
      <sheetName val="гос задание"/>
      <sheetName val="ресурсн обеспечен"/>
    </sheetNames>
    <sheetDataSet>
      <sheetData sheetId="0" refreshError="1"/>
      <sheetData sheetId="1" refreshError="1"/>
      <sheetData sheetId="2" refreshError="1"/>
      <sheetData sheetId="3" refreshError="1"/>
      <sheetData sheetId="4" refreshError="1">
        <row r="97">
          <cell r="M97">
            <v>9168.2999999999993</v>
          </cell>
        </row>
        <row r="137">
          <cell r="M137">
            <v>593771</v>
          </cell>
        </row>
      </sheetData>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able1"/>
      <sheetName val="Лист1"/>
    </sheetNames>
    <sheetDataSet>
      <sheetData sheetId="0">
        <row r="9">
          <cell r="S9">
            <v>9508</v>
          </cell>
          <cell r="T9">
            <v>27138</v>
          </cell>
          <cell r="U9">
            <v>20762</v>
          </cell>
        </row>
      </sheetData>
      <sheetData sheetId="1"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целев показ"/>
      <sheetName val="осн мерп"/>
      <sheetName val="прил 3 меры"/>
      <sheetName val="прил 4 гос. задание"/>
      <sheetName val="ресурсн обеспечен "/>
      <sheetName val="оценка ресурс обеспечения "/>
      <sheetName val="копия прил 5"/>
      <sheetName val="гос задание"/>
      <sheetName val="ресурсн обеспечен"/>
    </sheetNames>
    <sheetDataSet>
      <sheetData sheetId="0"/>
      <sheetData sheetId="1"/>
      <sheetData sheetId="2"/>
      <sheetData sheetId="3"/>
      <sheetData sheetId="4">
        <row r="78">
          <cell r="M78">
            <v>1660232.8</v>
          </cell>
          <cell r="N78">
            <v>1606069.2848100001</v>
          </cell>
        </row>
        <row r="128">
          <cell r="M128">
            <v>1759183.6500000001</v>
          </cell>
          <cell r="N128">
            <v>2144201.5846299999</v>
          </cell>
        </row>
      </sheetData>
      <sheetData sheetId="5"/>
      <sheetData sheetId="6"/>
      <sheetData sheetId="7"/>
      <sheetData sheetId="8">
        <row r="78">
          <cell r="L78">
            <v>1950521.87</v>
          </cell>
        </row>
        <row r="86">
          <cell r="L86">
            <v>541542</v>
          </cell>
        </row>
        <row r="87">
          <cell r="L87">
            <v>55433.5</v>
          </cell>
        </row>
        <row r="88">
          <cell r="L88">
            <v>0</v>
          </cell>
        </row>
        <row r="89">
          <cell r="L89">
            <v>0</v>
          </cell>
        </row>
        <row r="91">
          <cell r="L91">
            <v>14715.9</v>
          </cell>
        </row>
        <row r="99">
          <cell r="L99">
            <v>0</v>
          </cell>
        </row>
        <row r="127">
          <cell r="L127">
            <v>1608778.0199999996</v>
          </cell>
        </row>
        <row r="164">
          <cell r="L164">
            <v>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ЦСР"/>
      <sheetName val="ЦСР+ПР"/>
    </sheetNames>
    <sheetDataSet>
      <sheetData sheetId="0">
        <row r="83">
          <cell r="BO83">
            <v>13517.04</v>
          </cell>
        </row>
        <row r="85">
          <cell r="BO85">
            <v>3303.3</v>
          </cell>
        </row>
      </sheetData>
      <sheetData sheetId="1">
        <row r="28">
          <cell r="BP28">
            <v>1478929.6359999999</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02132000040"/>
      <sheetName val="СУЬБСИДИИ+СУБВЕНЦИИ ФБ"/>
      <sheetName val="301"/>
      <sheetName val="302"/>
      <sheetName val="303"/>
    </sheetNames>
    <sheetDataSet>
      <sheetData sheetId="0">
        <row r="191">
          <cell r="AD191">
            <v>5194900</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theme="9" tint="0.39997558519241921"/>
    <pageSetUpPr fitToPage="1"/>
  </sheetPr>
  <dimension ref="A1:S60"/>
  <sheetViews>
    <sheetView topLeftCell="A13" zoomScale="90" zoomScaleNormal="90" zoomScalePageLayoutView="80" workbookViewId="0">
      <pane xSplit="8" ySplit="5" topLeftCell="I30" activePane="bottomRight" state="frozen"/>
      <selection activeCell="A13" sqref="A13"/>
      <selection pane="topRight" activeCell="I13" sqref="I13"/>
      <selection pane="bottomLeft" activeCell="A18" sqref="A18"/>
      <selection pane="bottomRight" activeCell="J33" sqref="J33"/>
    </sheetView>
  </sheetViews>
  <sheetFormatPr defaultColWidth="9.140625" defaultRowHeight="15.75"/>
  <cols>
    <col min="1" max="1" width="10.42578125" style="43" customWidth="1"/>
    <col min="2" max="2" width="7" style="43" customWidth="1"/>
    <col min="3" max="3" width="4.85546875" style="44" customWidth="1"/>
    <col min="4" max="4" width="54.7109375" style="44" customWidth="1"/>
    <col min="5" max="5" width="11.5703125" style="45" customWidth="1"/>
    <col min="6" max="7" width="12.42578125" style="46" hidden="1" customWidth="1"/>
    <col min="8" max="8" width="12.42578125" style="47" hidden="1" customWidth="1"/>
    <col min="9" max="9" width="14" style="44" customWidth="1"/>
    <col min="10" max="18" width="14" style="48" customWidth="1"/>
    <col min="19" max="19" width="15.7109375" style="169" customWidth="1"/>
    <col min="20" max="16384" width="9.140625" style="48"/>
  </cols>
  <sheetData>
    <row r="1" spans="1:19" hidden="1">
      <c r="L1" s="352" t="s">
        <v>162</v>
      </c>
      <c r="M1" s="352"/>
      <c r="N1" s="352"/>
      <c r="O1" s="352"/>
    </row>
    <row r="2" spans="1:19" ht="49.5" hidden="1" customHeight="1">
      <c r="L2" s="353" t="s">
        <v>479</v>
      </c>
      <c r="M2" s="353"/>
      <c r="N2" s="353"/>
      <c r="O2" s="353"/>
    </row>
    <row r="3" spans="1:19" hidden="1"/>
    <row r="4" spans="1:19">
      <c r="A4" s="49"/>
      <c r="B4" s="49"/>
      <c r="C4" s="50"/>
      <c r="D4" s="50"/>
      <c r="E4" s="51"/>
      <c r="K4" s="352" t="s">
        <v>162</v>
      </c>
      <c r="L4" s="352"/>
      <c r="M4" s="352"/>
      <c r="N4" s="352"/>
      <c r="O4" s="352"/>
    </row>
    <row r="5" spans="1:19" ht="33" customHeight="1">
      <c r="A5" s="49"/>
      <c r="B5" s="49"/>
      <c r="C5" s="50"/>
      <c r="D5" s="50"/>
      <c r="E5" s="51"/>
      <c r="G5" s="52"/>
      <c r="H5" s="53"/>
      <c r="K5" s="353" t="s">
        <v>480</v>
      </c>
      <c r="L5" s="353"/>
      <c r="M5" s="353"/>
      <c r="N5" s="353"/>
      <c r="O5" s="353"/>
    </row>
    <row r="6" spans="1:19">
      <c r="A6" s="49"/>
      <c r="B6" s="49"/>
      <c r="C6" s="50"/>
      <c r="D6" s="50"/>
      <c r="E6" s="51"/>
    </row>
    <row r="7" spans="1:19">
      <c r="A7" s="354" t="s">
        <v>481</v>
      </c>
      <c r="B7" s="354"/>
      <c r="C7" s="354"/>
      <c r="D7" s="354"/>
      <c r="E7" s="354"/>
      <c r="F7" s="354"/>
      <c r="G7" s="354"/>
      <c r="H7" s="354"/>
      <c r="I7" s="354"/>
      <c r="J7" s="354"/>
      <c r="K7" s="354"/>
      <c r="L7" s="354"/>
      <c r="M7" s="354"/>
      <c r="N7" s="354"/>
      <c r="O7" s="354"/>
    </row>
    <row r="8" spans="1:19">
      <c r="A8" s="49"/>
      <c r="B8" s="49"/>
      <c r="C8" s="50"/>
      <c r="D8" s="50"/>
      <c r="E8" s="51"/>
      <c r="F8" s="54"/>
      <c r="G8" s="54"/>
      <c r="H8" s="55"/>
    </row>
    <row r="9" spans="1:19">
      <c r="A9" s="56" t="s">
        <v>163</v>
      </c>
      <c r="B9" s="56"/>
      <c r="D9" s="57"/>
      <c r="E9" s="351" t="s">
        <v>164</v>
      </c>
      <c r="F9" s="351"/>
      <c r="G9" s="351"/>
      <c r="H9" s="351"/>
      <c r="I9" s="351"/>
      <c r="J9" s="351"/>
      <c r="K9" s="351"/>
      <c r="L9" s="351"/>
      <c r="M9" s="351"/>
      <c r="N9" s="351"/>
      <c r="O9" s="351"/>
    </row>
    <row r="10" spans="1:19" ht="15.75" customHeight="1">
      <c r="A10" s="359"/>
      <c r="B10" s="359"/>
      <c r="D10" s="58"/>
      <c r="E10" s="360" t="s">
        <v>1</v>
      </c>
      <c r="F10" s="360"/>
      <c r="G10" s="360"/>
      <c r="H10" s="360"/>
      <c r="I10" s="360"/>
      <c r="J10" s="360"/>
      <c r="K10" s="360"/>
      <c r="L10" s="360"/>
      <c r="M10" s="360"/>
      <c r="N10" s="360"/>
      <c r="O10" s="360"/>
    </row>
    <row r="11" spans="1:19" s="61" customFormat="1" ht="34.5" customHeight="1">
      <c r="A11" s="59" t="s">
        <v>165</v>
      </c>
      <c r="B11" s="59"/>
      <c r="C11" s="47"/>
      <c r="D11" s="60"/>
      <c r="E11" s="361" t="s">
        <v>3</v>
      </c>
      <c r="F11" s="361"/>
      <c r="G11" s="361"/>
      <c r="H11" s="361"/>
      <c r="I11" s="361"/>
      <c r="J11" s="361"/>
      <c r="K11" s="361"/>
      <c r="L11" s="361"/>
      <c r="M11" s="361"/>
      <c r="N11" s="361"/>
      <c r="O11" s="361"/>
      <c r="S11" s="170"/>
    </row>
    <row r="12" spans="1:19" ht="29.25" customHeight="1">
      <c r="A12" s="62"/>
      <c r="B12" s="62"/>
      <c r="D12" s="58"/>
      <c r="E12" s="360" t="s">
        <v>4</v>
      </c>
      <c r="F12" s="360"/>
      <c r="G12" s="360"/>
      <c r="H12" s="360"/>
      <c r="I12" s="360"/>
      <c r="J12" s="360"/>
      <c r="K12" s="360"/>
      <c r="L12" s="360"/>
      <c r="M12" s="360"/>
      <c r="N12" s="360"/>
      <c r="O12" s="360"/>
    </row>
    <row r="14" spans="1:19" ht="15" customHeight="1">
      <c r="A14" s="362" t="s">
        <v>5</v>
      </c>
      <c r="B14" s="362"/>
      <c r="C14" s="362" t="s">
        <v>482</v>
      </c>
      <c r="D14" s="363" t="s">
        <v>483</v>
      </c>
      <c r="E14" s="363" t="s">
        <v>484</v>
      </c>
      <c r="F14" s="362" t="s">
        <v>485</v>
      </c>
      <c r="G14" s="362"/>
      <c r="H14" s="362"/>
      <c r="I14" s="362"/>
      <c r="J14" s="362"/>
      <c r="K14" s="362"/>
      <c r="L14" s="362"/>
      <c r="M14" s="362"/>
      <c r="N14" s="362"/>
      <c r="O14" s="362"/>
      <c r="P14" s="362"/>
      <c r="Q14" s="362"/>
      <c r="R14" s="362"/>
    </row>
    <row r="15" spans="1:19" ht="52.5" customHeight="1">
      <c r="A15" s="362"/>
      <c r="B15" s="362"/>
      <c r="C15" s="362"/>
      <c r="D15" s="363"/>
      <c r="E15" s="363"/>
      <c r="F15" s="63" t="s">
        <v>486</v>
      </c>
      <c r="G15" s="63" t="s">
        <v>487</v>
      </c>
      <c r="H15" s="64" t="s">
        <v>488</v>
      </c>
      <c r="I15" s="64" t="s">
        <v>489</v>
      </c>
      <c r="J15" s="64" t="s">
        <v>490</v>
      </c>
      <c r="K15" s="64" t="s">
        <v>491</v>
      </c>
      <c r="L15" s="64" t="s">
        <v>492</v>
      </c>
      <c r="M15" s="64" t="s">
        <v>493</v>
      </c>
      <c r="N15" s="64" t="s">
        <v>494</v>
      </c>
      <c r="O15" s="64" t="s">
        <v>495</v>
      </c>
      <c r="P15" s="74" t="s">
        <v>719</v>
      </c>
      <c r="Q15" s="74" t="s">
        <v>720</v>
      </c>
      <c r="R15" s="74" t="s">
        <v>721</v>
      </c>
      <c r="S15" s="171" t="s">
        <v>2</v>
      </c>
    </row>
    <row r="16" spans="1:19">
      <c r="A16" s="65" t="s">
        <v>6</v>
      </c>
      <c r="B16" s="66" t="s">
        <v>7</v>
      </c>
      <c r="C16" s="362"/>
      <c r="D16" s="363"/>
      <c r="E16" s="363"/>
      <c r="F16" s="63" t="s">
        <v>496</v>
      </c>
      <c r="G16" s="63" t="s">
        <v>497</v>
      </c>
      <c r="H16" s="64" t="s">
        <v>497</v>
      </c>
      <c r="I16" s="64" t="s">
        <v>497</v>
      </c>
      <c r="J16" s="64" t="s">
        <v>497</v>
      </c>
      <c r="K16" s="64" t="s">
        <v>497</v>
      </c>
      <c r="L16" s="64" t="s">
        <v>497</v>
      </c>
      <c r="M16" s="64" t="s">
        <v>498</v>
      </c>
      <c r="N16" s="64" t="s">
        <v>498</v>
      </c>
      <c r="O16" s="64" t="s">
        <v>498</v>
      </c>
      <c r="P16" s="143" t="s">
        <v>498</v>
      </c>
      <c r="Q16" s="143" t="s">
        <v>498</v>
      </c>
      <c r="R16" s="143" t="s">
        <v>498</v>
      </c>
      <c r="S16" s="172"/>
    </row>
    <row r="17" spans="1:19" ht="15.75" customHeight="1">
      <c r="A17" s="364" t="s">
        <v>499</v>
      </c>
      <c r="B17" s="365"/>
      <c r="C17" s="365"/>
      <c r="D17" s="365"/>
      <c r="E17" s="365"/>
      <c r="F17" s="365"/>
      <c r="G17" s="365"/>
      <c r="H17" s="365"/>
      <c r="I17" s="365"/>
      <c r="J17" s="365"/>
      <c r="K17" s="365"/>
      <c r="L17" s="365"/>
      <c r="M17" s="365"/>
      <c r="N17" s="365"/>
      <c r="O17" s="365"/>
      <c r="P17" s="365"/>
      <c r="Q17" s="365"/>
      <c r="R17" s="366"/>
      <c r="S17" s="172"/>
    </row>
    <row r="18" spans="1:19" ht="78.75">
      <c r="A18" s="67" t="s">
        <v>10</v>
      </c>
      <c r="B18" s="65" t="s">
        <v>500</v>
      </c>
      <c r="C18" s="68">
        <v>1</v>
      </c>
      <c r="D18" s="69" t="s">
        <v>842</v>
      </c>
      <c r="E18" s="64" t="s">
        <v>501</v>
      </c>
      <c r="F18" s="70">
        <v>97.7</v>
      </c>
      <c r="G18" s="70">
        <v>97.8</v>
      </c>
      <c r="H18" s="71">
        <v>98.1</v>
      </c>
      <c r="I18" s="72">
        <v>98.4</v>
      </c>
      <c r="J18" s="71">
        <v>98.5</v>
      </c>
      <c r="K18" s="71">
        <v>98.7</v>
      </c>
      <c r="L18" s="71">
        <v>99.9</v>
      </c>
      <c r="M18" s="71">
        <v>99.9</v>
      </c>
      <c r="N18" s="71">
        <v>99.9</v>
      </c>
      <c r="O18" s="71">
        <v>99.9</v>
      </c>
      <c r="P18" s="71">
        <v>99.9</v>
      </c>
      <c r="Q18" s="71">
        <v>99.9</v>
      </c>
      <c r="R18" s="71">
        <v>99.9</v>
      </c>
      <c r="S18" s="172" t="s">
        <v>796</v>
      </c>
    </row>
    <row r="19" spans="1:19" ht="79.5" customHeight="1">
      <c r="A19" s="73" t="s">
        <v>10</v>
      </c>
      <c r="B19" s="73" t="s">
        <v>500</v>
      </c>
      <c r="C19" s="74">
        <v>2</v>
      </c>
      <c r="D19" s="75" t="s">
        <v>502</v>
      </c>
      <c r="E19" s="64" t="s">
        <v>501</v>
      </c>
      <c r="F19" s="70">
        <v>32</v>
      </c>
      <c r="G19" s="70">
        <v>32.5</v>
      </c>
      <c r="H19" s="71">
        <v>57.8</v>
      </c>
      <c r="I19" s="76">
        <v>62.2</v>
      </c>
      <c r="J19" s="76">
        <v>58.9</v>
      </c>
      <c r="K19" s="76">
        <v>81</v>
      </c>
      <c r="L19" s="71">
        <v>100.2</v>
      </c>
      <c r="M19" s="71">
        <v>100</v>
      </c>
      <c r="N19" s="71">
        <v>100</v>
      </c>
      <c r="O19" s="71">
        <v>100</v>
      </c>
      <c r="P19" s="71">
        <v>100</v>
      </c>
      <c r="Q19" s="71">
        <v>100</v>
      </c>
      <c r="R19" s="71">
        <v>100</v>
      </c>
      <c r="S19" s="172" t="s">
        <v>797</v>
      </c>
    </row>
    <row r="20" spans="1:19" ht="37.5" customHeight="1">
      <c r="A20" s="73" t="s">
        <v>10</v>
      </c>
      <c r="B20" s="73" t="s">
        <v>500</v>
      </c>
      <c r="C20" s="74">
        <v>3</v>
      </c>
      <c r="D20" s="75" t="s">
        <v>503</v>
      </c>
      <c r="E20" s="64" t="s">
        <v>501</v>
      </c>
      <c r="F20" s="70">
        <v>75.099999999999994</v>
      </c>
      <c r="G20" s="70">
        <v>75.099999999999994</v>
      </c>
      <c r="H20" s="71">
        <v>60.3</v>
      </c>
      <c r="I20" s="175">
        <v>62.3</v>
      </c>
      <c r="J20" s="175">
        <v>63.2</v>
      </c>
      <c r="K20" s="175">
        <v>63.4</v>
      </c>
      <c r="L20" s="175">
        <v>63.6</v>
      </c>
      <c r="M20" s="176">
        <v>63.8</v>
      </c>
      <c r="N20" s="176">
        <v>64</v>
      </c>
      <c r="O20" s="176">
        <v>64</v>
      </c>
      <c r="P20" s="177">
        <v>64.099999999999994</v>
      </c>
      <c r="Q20" s="177">
        <v>64.099999999999994</v>
      </c>
      <c r="R20" s="177">
        <v>64.2</v>
      </c>
      <c r="S20" s="173" t="s">
        <v>798</v>
      </c>
    </row>
    <row r="21" spans="1:19">
      <c r="A21" s="367" t="s">
        <v>504</v>
      </c>
      <c r="B21" s="368"/>
      <c r="C21" s="368"/>
      <c r="D21" s="368"/>
      <c r="E21" s="368"/>
      <c r="F21" s="368"/>
      <c r="G21" s="368"/>
      <c r="H21" s="368"/>
      <c r="I21" s="368"/>
      <c r="J21" s="368"/>
      <c r="K21" s="368"/>
      <c r="L21" s="368"/>
      <c r="M21" s="368"/>
      <c r="N21" s="368"/>
      <c r="O21" s="368"/>
      <c r="P21" s="368"/>
      <c r="Q21" s="368"/>
      <c r="R21" s="369"/>
      <c r="S21" s="173"/>
    </row>
    <row r="22" spans="1:19" ht="108.75" customHeight="1">
      <c r="A22" s="67" t="s">
        <v>10</v>
      </c>
      <c r="B22" s="67" t="s">
        <v>11</v>
      </c>
      <c r="C22" s="77">
        <v>1</v>
      </c>
      <c r="D22" s="78" t="s">
        <v>505</v>
      </c>
      <c r="E22" s="79" t="s">
        <v>501</v>
      </c>
      <c r="F22" s="70">
        <v>99</v>
      </c>
      <c r="G22" s="70">
        <v>98</v>
      </c>
      <c r="H22" s="71">
        <v>100</v>
      </c>
      <c r="I22" s="74">
        <v>100</v>
      </c>
      <c r="J22" s="68">
        <v>98.4</v>
      </c>
      <c r="K22" s="68">
        <v>98.4</v>
      </c>
      <c r="L22" s="68">
        <v>98.4</v>
      </c>
      <c r="M22" s="68">
        <v>98.4</v>
      </c>
      <c r="N22" s="68">
        <v>98.4</v>
      </c>
      <c r="O22" s="68">
        <v>98.4</v>
      </c>
      <c r="P22" s="68">
        <v>98.4</v>
      </c>
      <c r="Q22" s="68">
        <v>98.4</v>
      </c>
      <c r="R22" s="68">
        <v>98.4</v>
      </c>
      <c r="S22" s="173" t="s">
        <v>799</v>
      </c>
    </row>
    <row r="23" spans="1:19" ht="79.5" customHeight="1">
      <c r="A23" s="67" t="s">
        <v>10</v>
      </c>
      <c r="B23" s="67" t="s">
        <v>11</v>
      </c>
      <c r="C23" s="77">
        <v>2</v>
      </c>
      <c r="D23" s="75" t="s">
        <v>506</v>
      </c>
      <c r="E23" s="79" t="s">
        <v>501</v>
      </c>
      <c r="F23" s="80">
        <v>141.5</v>
      </c>
      <c r="G23" s="70">
        <v>141</v>
      </c>
      <c r="H23" s="71">
        <v>31.8</v>
      </c>
      <c r="I23" s="71">
        <v>32</v>
      </c>
      <c r="J23" s="71">
        <v>30</v>
      </c>
      <c r="K23" s="71">
        <v>27</v>
      </c>
      <c r="L23" s="71">
        <v>26</v>
      </c>
      <c r="M23" s="71">
        <v>26</v>
      </c>
      <c r="N23" s="71">
        <v>26</v>
      </c>
      <c r="O23" s="71">
        <v>26</v>
      </c>
      <c r="P23" s="71">
        <v>26</v>
      </c>
      <c r="Q23" s="71">
        <v>26</v>
      </c>
      <c r="R23" s="71">
        <v>26</v>
      </c>
      <c r="S23" s="173" t="s">
        <v>799</v>
      </c>
    </row>
    <row r="24" spans="1:19" ht="79.5" customHeight="1">
      <c r="A24" s="67" t="s">
        <v>10</v>
      </c>
      <c r="B24" s="67" t="s">
        <v>11</v>
      </c>
      <c r="C24" s="77">
        <v>3</v>
      </c>
      <c r="D24" s="75" t="s">
        <v>507</v>
      </c>
      <c r="E24" s="79" t="s">
        <v>501</v>
      </c>
      <c r="F24" s="81">
        <v>133.80000000000001</v>
      </c>
      <c r="G24" s="81">
        <v>133</v>
      </c>
      <c r="H24" s="82">
        <v>31.8</v>
      </c>
      <c r="I24" s="82">
        <v>32</v>
      </c>
      <c r="J24" s="82">
        <v>30</v>
      </c>
      <c r="K24" s="82">
        <v>29</v>
      </c>
      <c r="L24" s="82">
        <v>28</v>
      </c>
      <c r="M24" s="82">
        <v>28</v>
      </c>
      <c r="N24" s="82">
        <v>28</v>
      </c>
      <c r="O24" s="82">
        <v>28</v>
      </c>
      <c r="P24" s="82">
        <v>28</v>
      </c>
      <c r="Q24" s="82">
        <v>28</v>
      </c>
      <c r="R24" s="82">
        <v>28</v>
      </c>
      <c r="S24" s="173" t="s">
        <v>799</v>
      </c>
    </row>
    <row r="25" spans="1:19">
      <c r="A25" s="370" t="s">
        <v>508</v>
      </c>
      <c r="B25" s="371"/>
      <c r="C25" s="371"/>
      <c r="D25" s="371"/>
      <c r="E25" s="371"/>
      <c r="F25" s="371"/>
      <c r="G25" s="371"/>
      <c r="H25" s="371"/>
      <c r="I25" s="371"/>
      <c r="J25" s="371"/>
      <c r="K25" s="371"/>
      <c r="L25" s="371"/>
      <c r="M25" s="371"/>
      <c r="N25" s="371"/>
      <c r="O25" s="371"/>
      <c r="P25" s="371"/>
      <c r="Q25" s="371"/>
      <c r="R25" s="372"/>
      <c r="S25" s="173"/>
    </row>
    <row r="26" spans="1:19">
      <c r="A26" s="73" t="s">
        <v>10</v>
      </c>
      <c r="B26" s="73" t="s">
        <v>76</v>
      </c>
      <c r="C26" s="74">
        <v>1</v>
      </c>
      <c r="D26" s="75" t="s">
        <v>509</v>
      </c>
      <c r="E26" s="83" t="s">
        <v>510</v>
      </c>
      <c r="F26" s="70">
        <v>56</v>
      </c>
      <c r="G26" s="70">
        <v>42</v>
      </c>
      <c r="H26" s="84">
        <v>1.925</v>
      </c>
      <c r="I26" s="85">
        <v>2.0059999999999998</v>
      </c>
      <c r="J26" s="85">
        <v>1.956</v>
      </c>
      <c r="K26" s="85">
        <v>1.718</v>
      </c>
      <c r="L26" s="178" t="s">
        <v>809</v>
      </c>
      <c r="M26" s="178">
        <v>1.7410000000000001</v>
      </c>
      <c r="N26" s="178">
        <v>1.7669999999999999</v>
      </c>
      <c r="O26" s="178">
        <v>1.7849999999999999</v>
      </c>
      <c r="P26" s="177">
        <v>1.8129999999999999</v>
      </c>
      <c r="Q26" s="177">
        <v>1.833</v>
      </c>
      <c r="R26" s="177">
        <v>1.8580000000000001</v>
      </c>
      <c r="S26" s="173" t="s">
        <v>800</v>
      </c>
    </row>
    <row r="27" spans="1:19" ht="47.25">
      <c r="A27" s="73" t="s">
        <v>10</v>
      </c>
      <c r="B27" s="73" t="s">
        <v>76</v>
      </c>
      <c r="C27" s="74">
        <v>2</v>
      </c>
      <c r="D27" s="75" t="s">
        <v>511</v>
      </c>
      <c r="E27" s="83" t="s">
        <v>510</v>
      </c>
      <c r="F27" s="80">
        <v>2.9</v>
      </c>
      <c r="G27" s="80">
        <v>1.9</v>
      </c>
      <c r="H27" s="68">
        <v>0.6</v>
      </c>
      <c r="I27" s="68">
        <v>0.56000000000000005</v>
      </c>
      <c r="J27" s="68">
        <v>0.7</v>
      </c>
      <c r="K27" s="68">
        <v>0.6</v>
      </c>
      <c r="L27" s="68">
        <v>0.6</v>
      </c>
      <c r="M27" s="68">
        <v>0.6</v>
      </c>
      <c r="N27" s="68">
        <v>0.5</v>
      </c>
      <c r="O27" s="68">
        <v>0.5</v>
      </c>
      <c r="P27" s="68">
        <v>0.5</v>
      </c>
      <c r="Q27" s="68">
        <v>0.5</v>
      </c>
      <c r="R27" s="68">
        <v>0.5</v>
      </c>
      <c r="S27" s="173" t="s">
        <v>798</v>
      </c>
    </row>
    <row r="28" spans="1:19" ht="47.25">
      <c r="A28" s="73" t="s">
        <v>10</v>
      </c>
      <c r="B28" s="73" t="s">
        <v>76</v>
      </c>
      <c r="C28" s="74">
        <v>3</v>
      </c>
      <c r="D28" s="75" t="s">
        <v>822</v>
      </c>
      <c r="E28" s="83" t="s">
        <v>510</v>
      </c>
      <c r="F28" s="80"/>
      <c r="G28" s="80"/>
      <c r="H28" s="68"/>
      <c r="I28" s="68">
        <v>121.3</v>
      </c>
      <c r="J28" s="68">
        <v>127</v>
      </c>
      <c r="K28" s="68">
        <v>110.66</v>
      </c>
      <c r="L28" s="68" t="s">
        <v>824</v>
      </c>
      <c r="M28" s="68">
        <v>113.7</v>
      </c>
      <c r="N28" s="68">
        <v>116.2</v>
      </c>
      <c r="O28" s="68">
        <v>118.3</v>
      </c>
      <c r="P28" s="68">
        <v>120.9</v>
      </c>
      <c r="Q28" s="68">
        <v>122.8</v>
      </c>
      <c r="R28" s="68">
        <v>123.9</v>
      </c>
      <c r="S28" s="173"/>
    </row>
    <row r="29" spans="1:19" ht="47.25">
      <c r="A29" s="73" t="s">
        <v>10</v>
      </c>
      <c r="B29" s="73" t="s">
        <v>76</v>
      </c>
      <c r="C29" s="74">
        <v>4</v>
      </c>
      <c r="D29" s="75" t="s">
        <v>823</v>
      </c>
      <c r="E29" s="83" t="s">
        <v>510</v>
      </c>
      <c r="F29" s="80"/>
      <c r="G29" s="80"/>
      <c r="H29" s="68"/>
      <c r="I29" s="68">
        <v>93.5</v>
      </c>
      <c r="J29" s="68">
        <v>93.2</v>
      </c>
      <c r="K29" s="68">
        <v>82.76</v>
      </c>
      <c r="L29" s="68" t="s">
        <v>824</v>
      </c>
      <c r="M29" s="68">
        <v>88.6</v>
      </c>
      <c r="N29" s="68">
        <v>93</v>
      </c>
      <c r="O29" s="68">
        <v>97.1</v>
      </c>
      <c r="P29" s="68">
        <v>101.7</v>
      </c>
      <c r="Q29" s="68">
        <v>105.8</v>
      </c>
      <c r="R29" s="68">
        <v>109.7</v>
      </c>
      <c r="S29" s="173"/>
    </row>
    <row r="30" spans="1:19" ht="15.75" customHeight="1">
      <c r="A30" s="373" t="s">
        <v>512</v>
      </c>
      <c r="B30" s="374"/>
      <c r="C30" s="374"/>
      <c r="D30" s="374"/>
      <c r="E30" s="374"/>
      <c r="F30" s="374"/>
      <c r="G30" s="374"/>
      <c r="H30" s="374"/>
      <c r="I30" s="374"/>
      <c r="J30" s="374"/>
      <c r="K30" s="374"/>
      <c r="L30" s="374"/>
      <c r="M30" s="374"/>
      <c r="N30" s="374"/>
      <c r="O30" s="374"/>
      <c r="P30" s="374"/>
      <c r="Q30" s="374"/>
      <c r="R30" s="375"/>
      <c r="S30" s="173"/>
    </row>
    <row r="31" spans="1:19" ht="63" customHeight="1">
      <c r="A31" s="67" t="s">
        <v>10</v>
      </c>
      <c r="B31" s="65" t="s">
        <v>111</v>
      </c>
      <c r="C31" s="68">
        <v>1</v>
      </c>
      <c r="D31" s="69" t="s">
        <v>513</v>
      </c>
      <c r="E31" s="64" t="s">
        <v>514</v>
      </c>
      <c r="F31" s="80">
        <v>22.37</v>
      </c>
      <c r="G31" s="80">
        <v>22.39</v>
      </c>
      <c r="H31" s="68">
        <v>21.57</v>
      </c>
      <c r="I31" s="68">
        <v>21.57</v>
      </c>
      <c r="J31" s="68">
        <v>21.57</v>
      </c>
      <c r="K31" s="68">
        <v>21.57</v>
      </c>
      <c r="L31" s="68">
        <v>22</v>
      </c>
      <c r="M31" s="345">
        <v>22</v>
      </c>
      <c r="N31" s="345">
        <v>22</v>
      </c>
      <c r="O31" s="345">
        <v>22</v>
      </c>
      <c r="P31" s="345">
        <v>22</v>
      </c>
      <c r="Q31" s="345">
        <v>22</v>
      </c>
      <c r="R31" s="345">
        <v>22</v>
      </c>
      <c r="S31" s="173" t="s">
        <v>796</v>
      </c>
    </row>
    <row r="32" spans="1:19" ht="55.5" customHeight="1">
      <c r="A32" s="73" t="s">
        <v>10</v>
      </c>
      <c r="B32" s="73" t="s">
        <v>111</v>
      </c>
      <c r="C32" s="74">
        <v>2</v>
      </c>
      <c r="D32" s="86" t="s">
        <v>515</v>
      </c>
      <c r="E32" s="79" t="s">
        <v>501</v>
      </c>
      <c r="F32" s="70">
        <v>68</v>
      </c>
      <c r="G32" s="70">
        <v>64</v>
      </c>
      <c r="H32" s="71">
        <v>47.2</v>
      </c>
      <c r="I32" s="87">
        <v>64</v>
      </c>
      <c r="J32" s="71">
        <v>50</v>
      </c>
      <c r="K32" s="71">
        <v>50</v>
      </c>
      <c r="L32" s="71">
        <v>62.8</v>
      </c>
      <c r="M32" s="71">
        <v>60</v>
      </c>
      <c r="N32" s="71">
        <v>60</v>
      </c>
      <c r="O32" s="71">
        <v>60</v>
      </c>
      <c r="P32" s="71">
        <v>60</v>
      </c>
      <c r="Q32" s="71">
        <v>60</v>
      </c>
      <c r="R32" s="71">
        <v>60</v>
      </c>
      <c r="S32" s="173" t="s">
        <v>796</v>
      </c>
    </row>
    <row r="33" spans="1:19" ht="153.75" customHeight="1">
      <c r="A33" s="73" t="s">
        <v>10</v>
      </c>
      <c r="B33" s="73" t="s">
        <v>111</v>
      </c>
      <c r="C33" s="74">
        <v>3</v>
      </c>
      <c r="D33" s="75" t="s">
        <v>516</v>
      </c>
      <c r="E33" s="79" t="s">
        <v>501</v>
      </c>
      <c r="F33" s="70">
        <v>0</v>
      </c>
      <c r="G33" s="70">
        <v>0</v>
      </c>
      <c r="H33" s="71">
        <v>2.1</v>
      </c>
      <c r="I33" s="88">
        <v>1</v>
      </c>
      <c r="J33" s="89">
        <v>4.17</v>
      </c>
      <c r="K33" s="89">
        <v>4.17</v>
      </c>
      <c r="L33" s="88">
        <v>0</v>
      </c>
      <c r="M33" s="88">
        <v>0</v>
      </c>
      <c r="N33" s="88">
        <v>0</v>
      </c>
      <c r="O33" s="88">
        <v>0</v>
      </c>
      <c r="P33" s="88">
        <v>0</v>
      </c>
      <c r="Q33" s="88">
        <v>0</v>
      </c>
      <c r="R33" s="88">
        <v>0</v>
      </c>
      <c r="S33" s="173" t="s">
        <v>801</v>
      </c>
    </row>
    <row r="34" spans="1:19" ht="93" customHeight="1">
      <c r="A34" s="73" t="s">
        <v>10</v>
      </c>
      <c r="B34" s="73" t="s">
        <v>111</v>
      </c>
      <c r="C34" s="74">
        <v>4</v>
      </c>
      <c r="D34" s="75" t="s">
        <v>517</v>
      </c>
      <c r="E34" s="79" t="s">
        <v>518</v>
      </c>
      <c r="F34" s="70"/>
      <c r="G34" s="70"/>
      <c r="H34" s="71">
        <v>42</v>
      </c>
      <c r="I34" s="87">
        <v>44</v>
      </c>
      <c r="J34" s="71">
        <v>42</v>
      </c>
      <c r="K34" s="71">
        <v>42</v>
      </c>
      <c r="L34" s="71">
        <v>42</v>
      </c>
      <c r="M34" s="71">
        <v>42</v>
      </c>
      <c r="N34" s="71">
        <v>42</v>
      </c>
      <c r="O34" s="71">
        <v>42</v>
      </c>
      <c r="P34" s="71">
        <v>42</v>
      </c>
      <c r="Q34" s="71">
        <v>42</v>
      </c>
      <c r="R34" s="71">
        <v>42</v>
      </c>
      <c r="S34" s="173" t="s">
        <v>799</v>
      </c>
    </row>
    <row r="35" spans="1:19" s="61" customFormat="1" ht="114" customHeight="1">
      <c r="A35" s="65" t="s">
        <v>10</v>
      </c>
      <c r="B35" s="65" t="s">
        <v>111</v>
      </c>
      <c r="C35" s="68">
        <v>5</v>
      </c>
      <c r="D35" s="75" t="s">
        <v>843</v>
      </c>
      <c r="E35" s="64" t="s">
        <v>501</v>
      </c>
      <c r="F35" s="71"/>
      <c r="G35" s="71"/>
      <c r="H35" s="71" t="s">
        <v>519</v>
      </c>
      <c r="I35" s="71" t="s">
        <v>519</v>
      </c>
      <c r="J35" s="71">
        <v>0.4</v>
      </c>
      <c r="K35" s="71">
        <v>0.4</v>
      </c>
      <c r="L35" s="71">
        <v>3</v>
      </c>
      <c r="M35" s="71">
        <v>5</v>
      </c>
      <c r="N35" s="71">
        <v>9.9</v>
      </c>
      <c r="O35" s="71">
        <v>9.9</v>
      </c>
      <c r="P35" s="71">
        <v>9.9</v>
      </c>
      <c r="Q35" s="71">
        <v>9.9</v>
      </c>
      <c r="R35" s="71">
        <v>9.9</v>
      </c>
      <c r="S35" s="174" t="s">
        <v>802</v>
      </c>
    </row>
    <row r="36" spans="1:19" s="61" customFormat="1" ht="71.25" customHeight="1">
      <c r="A36" s="192" t="s">
        <v>10</v>
      </c>
      <c r="B36" s="192" t="s">
        <v>111</v>
      </c>
      <c r="C36" s="193">
        <v>6</v>
      </c>
      <c r="D36" s="194" t="s">
        <v>520</v>
      </c>
      <c r="E36" s="64" t="s">
        <v>501</v>
      </c>
      <c r="F36" s="71"/>
      <c r="G36" s="71"/>
      <c r="H36" s="71">
        <v>2.6</v>
      </c>
      <c r="I36" s="168">
        <v>5</v>
      </c>
      <c r="J36" s="168">
        <v>7</v>
      </c>
      <c r="K36" s="168">
        <v>8.9499999999999993</v>
      </c>
      <c r="L36" s="168">
        <v>14</v>
      </c>
      <c r="M36" s="168">
        <v>11.2</v>
      </c>
      <c r="N36" s="168">
        <v>12.4</v>
      </c>
      <c r="O36" s="168">
        <v>13.6</v>
      </c>
      <c r="P36" s="168">
        <v>15.4</v>
      </c>
      <c r="Q36" s="168">
        <v>17.2</v>
      </c>
      <c r="R36" s="168">
        <v>19.5</v>
      </c>
      <c r="S36" s="174"/>
    </row>
    <row r="37" spans="1:19" s="61" customFormat="1" ht="31.5">
      <c r="A37" s="349" t="s">
        <v>10</v>
      </c>
      <c r="B37" s="349" t="s">
        <v>111</v>
      </c>
      <c r="C37" s="350">
        <v>7</v>
      </c>
      <c r="D37" s="197" t="s">
        <v>827</v>
      </c>
      <c r="E37" s="355" t="s">
        <v>844</v>
      </c>
      <c r="F37" s="71"/>
      <c r="G37" s="71"/>
      <c r="H37" s="71"/>
      <c r="I37" s="168" t="s">
        <v>519</v>
      </c>
      <c r="J37" s="168" t="s">
        <v>519</v>
      </c>
      <c r="K37" s="168" t="s">
        <v>519</v>
      </c>
      <c r="L37" s="198" t="s">
        <v>519</v>
      </c>
      <c r="M37" s="168">
        <v>24.82</v>
      </c>
      <c r="N37" s="168">
        <v>25.27</v>
      </c>
      <c r="O37" s="168">
        <v>25.71</v>
      </c>
      <c r="P37" s="168">
        <v>26.14</v>
      </c>
      <c r="Q37" s="168">
        <v>26.6</v>
      </c>
      <c r="R37" s="168">
        <v>27.08</v>
      </c>
      <c r="S37" s="174"/>
    </row>
    <row r="38" spans="1:19" s="61" customFormat="1">
      <c r="A38" s="349"/>
      <c r="B38" s="349"/>
      <c r="C38" s="350"/>
      <c r="D38" s="197" t="s">
        <v>825</v>
      </c>
      <c r="E38" s="356"/>
      <c r="F38" s="71"/>
      <c r="G38" s="71"/>
      <c r="H38" s="71"/>
      <c r="I38" s="168">
        <v>16.079999999999998</v>
      </c>
      <c r="J38" s="168" t="s">
        <v>519</v>
      </c>
      <c r="K38" s="168" t="s">
        <v>519</v>
      </c>
      <c r="L38" s="168" t="s">
        <v>519</v>
      </c>
      <c r="M38" s="168" t="s">
        <v>519</v>
      </c>
      <c r="N38" s="168" t="s">
        <v>519</v>
      </c>
      <c r="O38" s="168" t="s">
        <v>519</v>
      </c>
      <c r="P38" s="168" t="s">
        <v>519</v>
      </c>
      <c r="Q38" s="168" t="s">
        <v>519</v>
      </c>
      <c r="R38" s="168" t="s">
        <v>519</v>
      </c>
      <c r="S38" s="174"/>
    </row>
    <row r="39" spans="1:19" s="61" customFormat="1">
      <c r="A39" s="349"/>
      <c r="B39" s="349"/>
      <c r="C39" s="350"/>
      <c r="D39" s="197" t="s">
        <v>826</v>
      </c>
      <c r="E39" s="357"/>
      <c r="F39" s="71"/>
      <c r="G39" s="71"/>
      <c r="H39" s="71"/>
      <c r="I39" s="168">
        <v>25.8</v>
      </c>
      <c r="J39" s="168" t="s">
        <v>519</v>
      </c>
      <c r="K39" s="168" t="s">
        <v>519</v>
      </c>
      <c r="L39" s="168" t="s">
        <v>519</v>
      </c>
      <c r="M39" s="168" t="s">
        <v>519</v>
      </c>
      <c r="N39" s="168" t="s">
        <v>519</v>
      </c>
      <c r="O39" s="168" t="s">
        <v>519</v>
      </c>
      <c r="P39" s="168" t="s">
        <v>519</v>
      </c>
      <c r="Q39" s="168" t="s">
        <v>519</v>
      </c>
      <c r="R39" s="168" t="s">
        <v>519</v>
      </c>
      <c r="S39" s="174"/>
    </row>
    <row r="40" spans="1:19" s="61" customFormat="1" ht="31.5">
      <c r="A40" s="65" t="s">
        <v>10</v>
      </c>
      <c r="B40" s="65" t="s">
        <v>111</v>
      </c>
      <c r="C40" s="68">
        <v>8</v>
      </c>
      <c r="D40" s="197" t="s">
        <v>845</v>
      </c>
      <c r="E40" s="191" t="s">
        <v>518</v>
      </c>
      <c r="F40" s="71"/>
      <c r="G40" s="71"/>
      <c r="H40" s="71"/>
      <c r="I40" s="168" t="s">
        <v>519</v>
      </c>
      <c r="J40" s="168" t="s">
        <v>519</v>
      </c>
      <c r="K40" s="168">
        <v>1.34</v>
      </c>
      <c r="L40" s="168" t="s">
        <v>519</v>
      </c>
      <c r="M40" s="168">
        <v>1.4</v>
      </c>
      <c r="N40" s="168">
        <v>1.49</v>
      </c>
      <c r="O40" s="168">
        <v>1.49</v>
      </c>
      <c r="P40" s="168">
        <v>1.49</v>
      </c>
      <c r="Q40" s="168">
        <v>1.49</v>
      </c>
      <c r="R40" s="168">
        <v>1.49</v>
      </c>
      <c r="S40" s="174"/>
    </row>
    <row r="41" spans="1:19" s="61" customFormat="1" ht="47.25">
      <c r="A41" s="65" t="s">
        <v>10</v>
      </c>
      <c r="B41" s="65" t="s">
        <v>111</v>
      </c>
      <c r="C41" s="68">
        <v>9</v>
      </c>
      <c r="D41" s="197" t="s">
        <v>828</v>
      </c>
      <c r="E41" s="179" t="s">
        <v>501</v>
      </c>
      <c r="F41" s="71"/>
      <c r="G41" s="71"/>
      <c r="H41" s="71"/>
      <c r="I41" s="168" t="s">
        <v>519</v>
      </c>
      <c r="J41" s="168" t="s">
        <v>519</v>
      </c>
      <c r="K41" s="168">
        <v>19.260000000000002</v>
      </c>
      <c r="L41" s="168" t="s">
        <v>519</v>
      </c>
      <c r="M41" s="168">
        <v>25.8</v>
      </c>
      <c r="N41" s="168">
        <v>30.8</v>
      </c>
      <c r="O41" s="168">
        <v>36.799999999999997</v>
      </c>
      <c r="P41" s="168">
        <v>55.7</v>
      </c>
      <c r="Q41" s="168">
        <v>65.3</v>
      </c>
      <c r="R41" s="168">
        <v>70</v>
      </c>
      <c r="S41" s="174"/>
    </row>
    <row r="42" spans="1:19" s="61" customFormat="1" ht="51" customHeight="1">
      <c r="A42" s="65" t="s">
        <v>10</v>
      </c>
      <c r="B42" s="65" t="s">
        <v>111</v>
      </c>
      <c r="C42" s="68">
        <v>10</v>
      </c>
      <c r="D42" s="75" t="s">
        <v>829</v>
      </c>
      <c r="E42" s="179" t="s">
        <v>501</v>
      </c>
      <c r="F42" s="71"/>
      <c r="G42" s="71"/>
      <c r="H42" s="71"/>
      <c r="I42" s="168" t="s">
        <v>519</v>
      </c>
      <c r="J42" s="168" t="s">
        <v>519</v>
      </c>
      <c r="K42" s="168">
        <v>52.77</v>
      </c>
      <c r="L42" s="168" t="s">
        <v>519</v>
      </c>
      <c r="M42" s="168">
        <v>59.8</v>
      </c>
      <c r="N42" s="168">
        <v>63.7</v>
      </c>
      <c r="O42" s="168">
        <v>67.900000000000006</v>
      </c>
      <c r="P42" s="168">
        <v>69.099999999999994</v>
      </c>
      <c r="Q42" s="168">
        <v>80</v>
      </c>
      <c r="R42" s="168">
        <v>90</v>
      </c>
      <c r="S42" s="174"/>
    </row>
    <row r="43" spans="1:19" s="61" customFormat="1" ht="47.25">
      <c r="A43" s="195" t="s">
        <v>10</v>
      </c>
      <c r="B43" s="195" t="s">
        <v>111</v>
      </c>
      <c r="C43" s="196">
        <v>11</v>
      </c>
      <c r="D43" s="75" t="s">
        <v>830</v>
      </c>
      <c r="E43" s="179" t="s">
        <v>501</v>
      </c>
      <c r="F43" s="71"/>
      <c r="G43" s="71"/>
      <c r="H43" s="71"/>
      <c r="I43" s="168" t="s">
        <v>519</v>
      </c>
      <c r="J43" s="168" t="s">
        <v>519</v>
      </c>
      <c r="K43" s="168" t="s">
        <v>519</v>
      </c>
      <c r="L43" s="168" t="s">
        <v>519</v>
      </c>
      <c r="M43" s="168">
        <v>40</v>
      </c>
      <c r="N43" s="168">
        <v>80</v>
      </c>
      <c r="O43" s="168">
        <v>85</v>
      </c>
      <c r="P43" s="168">
        <v>95</v>
      </c>
      <c r="Q43" s="168">
        <v>95</v>
      </c>
      <c r="R43" s="168">
        <v>95</v>
      </c>
      <c r="S43" s="174"/>
    </row>
    <row r="44" spans="1:19" s="61" customFormat="1" ht="63">
      <c r="A44" s="65" t="s">
        <v>10</v>
      </c>
      <c r="B44" s="65" t="s">
        <v>111</v>
      </c>
      <c r="C44" s="68">
        <v>12</v>
      </c>
      <c r="D44" s="75" t="s">
        <v>832</v>
      </c>
      <c r="E44" s="179" t="s">
        <v>831</v>
      </c>
      <c r="F44" s="71"/>
      <c r="G44" s="71"/>
      <c r="H44" s="71"/>
      <c r="I44" s="168" t="s">
        <v>519</v>
      </c>
      <c r="J44" s="168" t="s">
        <v>519</v>
      </c>
      <c r="K44" s="168" t="s">
        <v>519</v>
      </c>
      <c r="L44" s="168" t="s">
        <v>519</v>
      </c>
      <c r="M44" s="199" t="s">
        <v>833</v>
      </c>
      <c r="N44" s="199" t="s">
        <v>834</v>
      </c>
      <c r="O44" s="199" t="s">
        <v>835</v>
      </c>
      <c r="P44" s="199" t="s">
        <v>836</v>
      </c>
      <c r="Q44" s="199" t="s">
        <v>837</v>
      </c>
      <c r="R44" s="199" t="s">
        <v>838</v>
      </c>
      <c r="S44" s="174"/>
    </row>
    <row r="45" spans="1:19" ht="19.5" customHeight="1">
      <c r="A45" s="367" t="s">
        <v>521</v>
      </c>
      <c r="B45" s="368"/>
      <c r="C45" s="368"/>
      <c r="D45" s="368"/>
      <c r="E45" s="368"/>
      <c r="F45" s="368"/>
      <c r="G45" s="368"/>
      <c r="H45" s="368"/>
      <c r="I45" s="368"/>
      <c r="J45" s="368"/>
      <c r="K45" s="368"/>
      <c r="L45" s="368"/>
      <c r="M45" s="368"/>
      <c r="N45" s="368"/>
      <c r="O45" s="368"/>
      <c r="P45" s="368"/>
      <c r="Q45" s="368"/>
      <c r="R45" s="369"/>
      <c r="S45" s="172"/>
    </row>
    <row r="46" spans="1:19" ht="63" customHeight="1">
      <c r="A46" s="90" t="s">
        <v>10</v>
      </c>
      <c r="B46" s="73" t="s">
        <v>151</v>
      </c>
      <c r="C46" s="73" t="s">
        <v>11</v>
      </c>
      <c r="D46" s="91" t="s">
        <v>846</v>
      </c>
      <c r="E46" s="79" t="s">
        <v>501</v>
      </c>
      <c r="F46" s="70"/>
      <c r="G46" s="70"/>
      <c r="H46" s="71">
        <v>100</v>
      </c>
      <c r="I46" s="88">
        <v>100</v>
      </c>
      <c r="J46" s="88">
        <v>100</v>
      </c>
      <c r="K46" s="88">
        <v>100</v>
      </c>
      <c r="L46" s="88">
        <v>100</v>
      </c>
      <c r="M46" s="88">
        <v>100</v>
      </c>
      <c r="N46" s="88">
        <v>100</v>
      </c>
      <c r="O46" s="88">
        <v>100</v>
      </c>
      <c r="P46" s="88">
        <v>100</v>
      </c>
      <c r="Q46" s="88">
        <v>100</v>
      </c>
      <c r="R46" s="88">
        <v>100</v>
      </c>
      <c r="S46" s="172" t="s">
        <v>803</v>
      </c>
    </row>
    <row r="47" spans="1:19" ht="204.75" hidden="1">
      <c r="A47" s="67" t="s">
        <v>10</v>
      </c>
      <c r="B47" s="73" t="s">
        <v>20</v>
      </c>
      <c r="C47" s="68">
        <v>2</v>
      </c>
      <c r="D47" s="75" t="s">
        <v>522</v>
      </c>
      <c r="E47" s="64" t="s">
        <v>501</v>
      </c>
      <c r="F47" s="70"/>
      <c r="G47" s="70"/>
      <c r="H47" s="71" t="s">
        <v>519</v>
      </c>
      <c r="I47" s="71">
        <v>0</v>
      </c>
      <c r="J47" s="71">
        <v>40</v>
      </c>
      <c r="K47" s="71">
        <v>70</v>
      </c>
      <c r="L47" s="71">
        <v>72</v>
      </c>
      <c r="M47" s="71">
        <v>74</v>
      </c>
      <c r="N47" s="71">
        <v>75</v>
      </c>
      <c r="O47" s="71">
        <v>75</v>
      </c>
      <c r="P47" s="149"/>
      <c r="Q47" s="149"/>
      <c r="R47" s="149"/>
      <c r="S47" s="172"/>
    </row>
    <row r="48" spans="1:19" ht="115.5" hidden="1" customHeight="1">
      <c r="A48" s="73" t="s">
        <v>10</v>
      </c>
      <c r="B48" s="73" t="s">
        <v>20</v>
      </c>
      <c r="C48" s="74">
        <v>3</v>
      </c>
      <c r="D48" s="78" t="s">
        <v>523</v>
      </c>
      <c r="E48" s="64" t="s">
        <v>501</v>
      </c>
      <c r="F48" s="70"/>
      <c r="G48" s="70"/>
      <c r="H48" s="71" t="s">
        <v>519</v>
      </c>
      <c r="I48" s="71">
        <v>100</v>
      </c>
      <c r="J48" s="71">
        <v>100</v>
      </c>
      <c r="K48" s="71">
        <v>100</v>
      </c>
      <c r="L48" s="71">
        <v>100</v>
      </c>
      <c r="M48" s="71">
        <v>100</v>
      </c>
      <c r="N48" s="71">
        <v>100</v>
      </c>
      <c r="O48" s="71">
        <v>100</v>
      </c>
      <c r="P48" s="149"/>
      <c r="Q48" s="149"/>
      <c r="R48" s="149"/>
      <c r="S48" s="172"/>
    </row>
    <row r="49" spans="1:19" ht="79.5" hidden="1" customHeight="1">
      <c r="A49" s="73" t="s">
        <v>10</v>
      </c>
      <c r="B49" s="73" t="s">
        <v>20</v>
      </c>
      <c r="C49" s="74">
        <v>4</v>
      </c>
      <c r="D49" s="78" t="s">
        <v>524</v>
      </c>
      <c r="E49" s="64" t="s">
        <v>501</v>
      </c>
      <c r="F49" s="70"/>
      <c r="G49" s="70"/>
      <c r="H49" s="71" t="s">
        <v>519</v>
      </c>
      <c r="I49" s="71">
        <v>100</v>
      </c>
      <c r="J49" s="71">
        <v>85</v>
      </c>
      <c r="K49" s="71">
        <v>88</v>
      </c>
      <c r="L49" s="71">
        <v>90</v>
      </c>
      <c r="M49" s="71">
        <v>91</v>
      </c>
      <c r="N49" s="71">
        <v>92</v>
      </c>
      <c r="O49" s="71">
        <v>92</v>
      </c>
      <c r="P49" s="149"/>
      <c r="Q49" s="149"/>
      <c r="R49" s="149"/>
      <c r="S49" s="172"/>
    </row>
    <row r="50" spans="1:19" ht="63" hidden="1">
      <c r="A50" s="67" t="s">
        <v>10</v>
      </c>
      <c r="B50" s="73" t="s">
        <v>20</v>
      </c>
      <c r="C50" s="68">
        <v>5</v>
      </c>
      <c r="D50" s="78" t="s">
        <v>525</v>
      </c>
      <c r="E50" s="64" t="s">
        <v>526</v>
      </c>
      <c r="F50" s="70"/>
      <c r="G50" s="70"/>
      <c r="H50" s="71" t="s">
        <v>519</v>
      </c>
      <c r="I50" s="76">
        <v>15</v>
      </c>
      <c r="J50" s="76" t="s">
        <v>527</v>
      </c>
      <c r="K50" s="76" t="s">
        <v>527</v>
      </c>
      <c r="L50" s="76" t="s">
        <v>527</v>
      </c>
      <c r="M50" s="76" t="s">
        <v>527</v>
      </c>
      <c r="N50" s="76" t="s">
        <v>527</v>
      </c>
      <c r="O50" s="76" t="s">
        <v>527</v>
      </c>
      <c r="P50" s="149"/>
      <c r="Q50" s="149"/>
      <c r="R50" s="149"/>
      <c r="S50" s="172"/>
    </row>
    <row r="51" spans="1:19" hidden="1">
      <c r="A51" s="67" t="s">
        <v>10</v>
      </c>
      <c r="B51" s="73" t="s">
        <v>20</v>
      </c>
      <c r="C51" s="68">
        <v>6</v>
      </c>
      <c r="D51" s="78" t="s">
        <v>528</v>
      </c>
      <c r="E51" s="64" t="s">
        <v>501</v>
      </c>
      <c r="F51" s="70"/>
      <c r="G51" s="70"/>
      <c r="H51" s="71" t="s">
        <v>519</v>
      </c>
      <c r="I51" s="76">
        <v>14.4</v>
      </c>
      <c r="J51" s="76">
        <v>13.3</v>
      </c>
      <c r="K51" s="76">
        <v>15.3</v>
      </c>
      <c r="L51" s="76">
        <v>17.3</v>
      </c>
      <c r="M51" s="76">
        <v>17.3</v>
      </c>
      <c r="N51" s="76">
        <v>17.3</v>
      </c>
      <c r="O51" s="76">
        <v>17.3</v>
      </c>
      <c r="P51" s="149"/>
      <c r="Q51" s="149"/>
      <c r="R51" s="149"/>
      <c r="S51" s="172"/>
    </row>
    <row r="52" spans="1:19" ht="47.25" hidden="1">
      <c r="A52" s="67" t="s">
        <v>10</v>
      </c>
      <c r="B52" s="73" t="s">
        <v>20</v>
      </c>
      <c r="C52" s="68">
        <v>7</v>
      </c>
      <c r="D52" s="78" t="s">
        <v>529</v>
      </c>
      <c r="E52" s="64" t="s">
        <v>530</v>
      </c>
      <c r="F52" s="70"/>
      <c r="G52" s="70"/>
      <c r="H52" s="71" t="s">
        <v>519</v>
      </c>
      <c r="I52" s="76">
        <v>3</v>
      </c>
      <c r="J52" s="76">
        <v>3.2</v>
      </c>
      <c r="K52" s="76">
        <v>3.3</v>
      </c>
      <c r="L52" s="76">
        <v>3.5</v>
      </c>
      <c r="M52" s="76">
        <v>3.5</v>
      </c>
      <c r="N52" s="76">
        <v>3.5</v>
      </c>
      <c r="O52" s="76">
        <v>3.5</v>
      </c>
      <c r="P52" s="149"/>
      <c r="Q52" s="149"/>
      <c r="R52" s="149"/>
      <c r="S52" s="172"/>
    </row>
    <row r="53" spans="1:19" ht="31.5">
      <c r="A53" s="67" t="s">
        <v>10</v>
      </c>
      <c r="B53" s="73" t="s">
        <v>151</v>
      </c>
      <c r="C53" s="68">
        <v>2</v>
      </c>
      <c r="D53" s="78" t="s">
        <v>531</v>
      </c>
      <c r="E53" s="64" t="s">
        <v>501</v>
      </c>
      <c r="F53" s="70"/>
      <c r="G53" s="70"/>
      <c r="H53" s="71">
        <v>99.6</v>
      </c>
      <c r="I53" s="76">
        <v>94.7</v>
      </c>
      <c r="J53" s="76" t="s">
        <v>532</v>
      </c>
      <c r="K53" s="76" t="s">
        <v>532</v>
      </c>
      <c r="L53" s="76" t="s">
        <v>532</v>
      </c>
      <c r="M53" s="76" t="s">
        <v>532</v>
      </c>
      <c r="N53" s="76" t="s">
        <v>532</v>
      </c>
      <c r="O53" s="76" t="s">
        <v>532</v>
      </c>
      <c r="P53" s="76" t="s">
        <v>532</v>
      </c>
      <c r="Q53" s="76" t="s">
        <v>532</v>
      </c>
      <c r="R53" s="76" t="s">
        <v>532</v>
      </c>
      <c r="S53" s="172" t="s">
        <v>804</v>
      </c>
    </row>
    <row r="54" spans="1:19" ht="111.75" customHeight="1">
      <c r="A54" s="90" t="s">
        <v>10</v>
      </c>
      <c r="B54" s="73" t="s">
        <v>151</v>
      </c>
      <c r="C54" s="73" t="s">
        <v>111</v>
      </c>
      <c r="D54" s="78" t="s">
        <v>854</v>
      </c>
      <c r="E54" s="64" t="s">
        <v>501</v>
      </c>
      <c r="F54" s="70"/>
      <c r="G54" s="70"/>
      <c r="H54" s="71" t="s">
        <v>519</v>
      </c>
      <c r="I54" s="71">
        <v>100</v>
      </c>
      <c r="J54" s="71">
        <v>100</v>
      </c>
      <c r="K54" s="71">
        <v>100</v>
      </c>
      <c r="L54" s="71">
        <v>100</v>
      </c>
      <c r="M54" s="71">
        <v>100</v>
      </c>
      <c r="N54" s="71">
        <v>100</v>
      </c>
      <c r="O54" s="71">
        <v>100</v>
      </c>
      <c r="P54" s="71">
        <v>100</v>
      </c>
      <c r="Q54" s="71">
        <v>100</v>
      </c>
      <c r="R54" s="71">
        <v>100</v>
      </c>
      <c r="S54" s="172" t="s">
        <v>804</v>
      </c>
    </row>
    <row r="55" spans="1:19" ht="84" customHeight="1">
      <c r="A55" s="67" t="s">
        <v>10</v>
      </c>
      <c r="B55" s="73" t="s">
        <v>151</v>
      </c>
      <c r="C55" s="68">
        <v>4</v>
      </c>
      <c r="D55" s="78" t="s">
        <v>847</v>
      </c>
      <c r="E55" s="64" t="s">
        <v>501</v>
      </c>
      <c r="F55" s="70"/>
      <c r="G55" s="70"/>
      <c r="H55" s="71" t="s">
        <v>519</v>
      </c>
      <c r="I55" s="71">
        <v>82</v>
      </c>
      <c r="J55" s="71">
        <v>85</v>
      </c>
      <c r="K55" s="71">
        <v>92</v>
      </c>
      <c r="L55" s="71">
        <v>93</v>
      </c>
      <c r="M55" s="71">
        <v>94</v>
      </c>
      <c r="N55" s="71">
        <v>95</v>
      </c>
      <c r="O55" s="71">
        <v>95</v>
      </c>
      <c r="P55" s="71">
        <v>95</v>
      </c>
      <c r="Q55" s="71">
        <v>95</v>
      </c>
      <c r="R55" s="71">
        <v>95</v>
      </c>
      <c r="S55" s="172" t="s">
        <v>804</v>
      </c>
    </row>
    <row r="56" spans="1:19" ht="47.25">
      <c r="A56" s="73" t="s">
        <v>10</v>
      </c>
      <c r="B56" s="73" t="s">
        <v>151</v>
      </c>
      <c r="C56" s="74">
        <v>5</v>
      </c>
      <c r="D56" s="78" t="s">
        <v>848</v>
      </c>
      <c r="E56" s="64" t="s">
        <v>526</v>
      </c>
      <c r="F56" s="70"/>
      <c r="G56" s="70"/>
      <c r="H56" s="71" t="s">
        <v>519</v>
      </c>
      <c r="I56" s="76" t="s">
        <v>527</v>
      </c>
      <c r="J56" s="76" t="s">
        <v>527</v>
      </c>
      <c r="K56" s="76" t="s">
        <v>527</v>
      </c>
      <c r="L56" s="76" t="s">
        <v>527</v>
      </c>
      <c r="M56" s="76" t="s">
        <v>527</v>
      </c>
      <c r="N56" s="76" t="s">
        <v>527</v>
      </c>
      <c r="O56" s="76" t="s">
        <v>527</v>
      </c>
      <c r="P56" s="76" t="s">
        <v>527</v>
      </c>
      <c r="Q56" s="76" t="s">
        <v>527</v>
      </c>
      <c r="R56" s="76" t="s">
        <v>527</v>
      </c>
      <c r="S56" s="172"/>
    </row>
    <row r="57" spans="1:19" ht="94.5" hidden="1">
      <c r="A57" s="73" t="s">
        <v>10</v>
      </c>
      <c r="B57" s="73" t="s">
        <v>151</v>
      </c>
      <c r="C57" s="74">
        <v>6</v>
      </c>
      <c r="D57" s="78" t="s">
        <v>533</v>
      </c>
      <c r="E57" s="64" t="s">
        <v>534</v>
      </c>
      <c r="F57" s="70"/>
      <c r="G57" s="70"/>
      <c r="H57" s="71" t="s">
        <v>519</v>
      </c>
      <c r="I57" s="76" t="s">
        <v>519</v>
      </c>
      <c r="J57" s="76" t="s">
        <v>519</v>
      </c>
      <c r="K57" s="76" t="s">
        <v>519</v>
      </c>
      <c r="L57" s="76">
        <v>1</v>
      </c>
      <c r="M57" s="76" t="s">
        <v>519</v>
      </c>
      <c r="N57" s="76" t="s">
        <v>519</v>
      </c>
      <c r="O57" s="76" t="s">
        <v>519</v>
      </c>
      <c r="P57" s="149"/>
      <c r="Q57" s="149"/>
      <c r="R57" s="149"/>
      <c r="S57" s="172"/>
    </row>
    <row r="59" spans="1:19">
      <c r="A59" s="348" t="s">
        <v>855</v>
      </c>
      <c r="B59" s="348"/>
      <c r="C59" s="348"/>
      <c r="D59" s="348"/>
      <c r="E59" s="348"/>
      <c r="F59" s="348"/>
      <c r="G59" s="348"/>
      <c r="H59" s="348"/>
      <c r="I59" s="348"/>
      <c r="J59" s="348"/>
      <c r="K59" s="348"/>
      <c r="L59" s="348"/>
      <c r="M59" s="348"/>
      <c r="N59" s="348"/>
      <c r="O59" s="348"/>
      <c r="P59" s="348"/>
      <c r="Q59" s="348"/>
      <c r="R59" s="348"/>
    </row>
    <row r="60" spans="1:19" ht="21" customHeight="1">
      <c r="A60" s="358" t="s">
        <v>458</v>
      </c>
      <c r="B60" s="358"/>
      <c r="C60" s="358"/>
      <c r="D60" s="358"/>
      <c r="E60" s="358"/>
      <c r="F60" s="358"/>
      <c r="G60" s="358"/>
      <c r="H60" s="358"/>
      <c r="I60" s="358"/>
      <c r="J60" s="358"/>
      <c r="K60" s="358"/>
      <c r="L60" s="358"/>
      <c r="M60" s="358"/>
      <c r="N60" s="358"/>
      <c r="O60" s="358"/>
    </row>
  </sheetData>
  <mergeCells count="26">
    <mergeCell ref="A60:O60"/>
    <mergeCell ref="A10:B10"/>
    <mergeCell ref="E10:O10"/>
    <mergeCell ref="E11:O11"/>
    <mergeCell ref="E12:O12"/>
    <mergeCell ref="A14:B15"/>
    <mergeCell ref="C14:C16"/>
    <mergeCell ref="D14:D16"/>
    <mergeCell ref="E14:E16"/>
    <mergeCell ref="F14:R14"/>
    <mergeCell ref="A17:R17"/>
    <mergeCell ref="A21:R21"/>
    <mergeCell ref="A25:R25"/>
    <mergeCell ref="A30:R30"/>
    <mergeCell ref="A45:R45"/>
    <mergeCell ref="A37:A39"/>
    <mergeCell ref="A59:R59"/>
    <mergeCell ref="B37:B39"/>
    <mergeCell ref="C37:C39"/>
    <mergeCell ref="E9:O9"/>
    <mergeCell ref="L1:O1"/>
    <mergeCell ref="L2:O2"/>
    <mergeCell ref="K4:O4"/>
    <mergeCell ref="K5:O5"/>
    <mergeCell ref="A7:O7"/>
    <mergeCell ref="E37:E39"/>
  </mergeCells>
  <printOptions horizontalCentered="1"/>
  <pageMargins left="0.27559055118110237" right="0.11811023622047245" top="0.35433070866141736" bottom="0.11811023622047245" header="0.15748031496062992" footer="0.11811023622047245"/>
  <pageSetup paperSize="9" scale="62" fitToHeight="3" orientation="landscape" horizontalDpi="180" verticalDpi="180"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sheetPr>
    <tabColor theme="9" tint="0.39997558519241921"/>
  </sheetPr>
  <dimension ref="A1:V165"/>
  <sheetViews>
    <sheetView tabSelected="1" topLeftCell="A104" zoomScaleNormal="100" workbookViewId="0">
      <selection activeCell="G119" sqref="G119"/>
    </sheetView>
  </sheetViews>
  <sheetFormatPr defaultColWidth="9.140625" defaultRowHeight="12.75"/>
  <cols>
    <col min="1" max="1" width="5.85546875" style="212" customWidth="1"/>
    <col min="2" max="2" width="7.140625" style="212" customWidth="1"/>
    <col min="3" max="3" width="6.85546875" style="212" customWidth="1"/>
    <col min="4" max="4" width="6.7109375" style="213" customWidth="1"/>
    <col min="5" max="5" width="48.7109375" style="213" customWidth="1"/>
    <col min="6" max="6" width="25.5703125" style="214" customWidth="1"/>
    <col min="7" max="7" width="14.140625" style="213" customWidth="1"/>
    <col min="8" max="8" width="54.5703125" style="213" customWidth="1"/>
    <col min="9" max="9" width="15" style="212" customWidth="1"/>
    <col min="10" max="10" width="32.5703125" style="216" hidden="1" customWidth="1"/>
    <col min="11" max="11" width="20.140625" style="216" customWidth="1"/>
    <col min="12" max="16384" width="9.140625" style="216"/>
  </cols>
  <sheetData>
    <row r="1" spans="1:10" hidden="1">
      <c r="H1" s="377" t="s">
        <v>0</v>
      </c>
      <c r="I1" s="377"/>
      <c r="J1" s="215"/>
    </row>
    <row r="2" spans="1:10" ht="44.25" hidden="1" customHeight="1">
      <c r="H2" s="377" t="s">
        <v>535</v>
      </c>
      <c r="I2" s="377"/>
      <c r="J2" s="215"/>
    </row>
    <row r="3" spans="1:10" hidden="1"/>
    <row r="4" spans="1:10" ht="17.25" customHeight="1">
      <c r="H4" s="378" t="s">
        <v>0</v>
      </c>
      <c r="I4" s="378"/>
    </row>
    <row r="5" spans="1:10" ht="23.25" customHeight="1">
      <c r="H5" s="377" t="s">
        <v>480</v>
      </c>
      <c r="I5" s="377"/>
    </row>
    <row r="6" spans="1:10">
      <c r="B6" s="217"/>
      <c r="C6" s="217"/>
      <c r="D6" s="218"/>
      <c r="E6" s="379" t="s">
        <v>536</v>
      </c>
      <c r="F6" s="379"/>
      <c r="G6" s="379"/>
      <c r="H6" s="379"/>
    </row>
    <row r="7" spans="1:10" ht="12.75" customHeight="1">
      <c r="A7" s="219"/>
      <c r="B7" s="219"/>
      <c r="C7" s="219"/>
      <c r="D7" s="220"/>
      <c r="E7" s="220"/>
    </row>
    <row r="8" spans="1:10" ht="28.5" customHeight="1">
      <c r="A8" s="376" t="s">
        <v>841</v>
      </c>
      <c r="B8" s="376"/>
      <c r="C8" s="376"/>
      <c r="D8" s="376"/>
      <c r="E8" s="376"/>
      <c r="F8" s="376"/>
      <c r="G8" s="376"/>
      <c r="H8" s="376"/>
      <c r="I8" s="376"/>
    </row>
    <row r="9" spans="1:10">
      <c r="A9" s="380"/>
      <c r="B9" s="380"/>
      <c r="D9" s="221"/>
      <c r="E9" s="381" t="s">
        <v>1</v>
      </c>
      <c r="F9" s="381"/>
      <c r="G9" s="381"/>
      <c r="H9" s="381"/>
    </row>
    <row r="10" spans="1:10" ht="13.5">
      <c r="A10" s="29" t="s">
        <v>2</v>
      </c>
      <c r="B10" s="29"/>
      <c r="D10" s="222"/>
      <c r="E10" s="382" t="s">
        <v>3</v>
      </c>
      <c r="F10" s="382"/>
      <c r="G10" s="382"/>
      <c r="H10" s="382"/>
    </row>
    <row r="11" spans="1:10">
      <c r="A11" s="223"/>
      <c r="B11" s="223"/>
      <c r="D11" s="221"/>
      <c r="E11" s="381" t="s">
        <v>4</v>
      </c>
      <c r="F11" s="381"/>
      <c r="G11" s="381"/>
      <c r="H11" s="381"/>
    </row>
    <row r="13" spans="1:10" s="224" customFormat="1" ht="36.75" customHeight="1">
      <c r="A13" s="383" t="s">
        <v>5</v>
      </c>
      <c r="B13" s="383"/>
      <c r="C13" s="383"/>
      <c r="D13" s="383"/>
      <c r="E13" s="384" t="s">
        <v>537</v>
      </c>
      <c r="F13" s="384" t="s">
        <v>538</v>
      </c>
      <c r="G13" s="386" t="s">
        <v>539</v>
      </c>
      <c r="H13" s="386" t="s">
        <v>540</v>
      </c>
      <c r="I13" s="388" t="s">
        <v>541</v>
      </c>
    </row>
    <row r="14" spans="1:10" s="224" customFormat="1" ht="17.25" customHeight="1">
      <c r="A14" s="36" t="s">
        <v>6</v>
      </c>
      <c r="B14" s="36" t="s">
        <v>7</v>
      </c>
      <c r="C14" s="36" t="s">
        <v>8</v>
      </c>
      <c r="D14" s="34" t="s">
        <v>9</v>
      </c>
      <c r="E14" s="385"/>
      <c r="F14" s="385"/>
      <c r="G14" s="386"/>
      <c r="H14" s="386"/>
      <c r="I14" s="388"/>
    </row>
    <row r="15" spans="1:10" ht="25.5">
      <c r="A15" s="36" t="s">
        <v>10</v>
      </c>
      <c r="B15" s="188" t="s">
        <v>11</v>
      </c>
      <c r="C15" s="188"/>
      <c r="D15" s="30"/>
      <c r="E15" s="189" t="s">
        <v>12</v>
      </c>
      <c r="F15" s="34" t="s">
        <v>3</v>
      </c>
      <c r="G15" s="225"/>
      <c r="H15" s="225"/>
      <c r="I15" s="226"/>
    </row>
    <row r="16" spans="1:10" ht="51">
      <c r="A16" s="181" t="s">
        <v>10</v>
      </c>
      <c r="B16" s="181" t="s">
        <v>11</v>
      </c>
      <c r="C16" s="181" t="s">
        <v>13</v>
      </c>
      <c r="D16" s="181"/>
      <c r="E16" s="35" t="s">
        <v>14</v>
      </c>
      <c r="F16" s="34" t="s">
        <v>3</v>
      </c>
      <c r="G16" s="30" t="s">
        <v>743</v>
      </c>
      <c r="H16" s="32"/>
      <c r="I16" s="36" t="s">
        <v>542</v>
      </c>
    </row>
    <row r="17" spans="1:9" ht="25.5">
      <c r="A17" s="188" t="s">
        <v>10</v>
      </c>
      <c r="B17" s="188" t="s">
        <v>11</v>
      </c>
      <c r="C17" s="188" t="s">
        <v>13</v>
      </c>
      <c r="D17" s="188" t="s">
        <v>13</v>
      </c>
      <c r="E17" s="189" t="s">
        <v>15</v>
      </c>
      <c r="F17" s="34" t="s">
        <v>3</v>
      </c>
      <c r="G17" s="30" t="s">
        <v>743</v>
      </c>
      <c r="H17" s="189" t="s">
        <v>810</v>
      </c>
      <c r="I17" s="226"/>
    </row>
    <row r="18" spans="1:9" ht="25.5">
      <c r="A18" s="188" t="s">
        <v>10</v>
      </c>
      <c r="B18" s="181" t="s">
        <v>11</v>
      </c>
      <c r="C18" s="188" t="s">
        <v>13</v>
      </c>
      <c r="D18" s="188" t="s">
        <v>16</v>
      </c>
      <c r="E18" s="189" t="s">
        <v>17</v>
      </c>
      <c r="F18" s="34" t="s">
        <v>3</v>
      </c>
      <c r="G18" s="30" t="s">
        <v>743</v>
      </c>
      <c r="H18" s="189" t="s">
        <v>765</v>
      </c>
      <c r="I18" s="226"/>
    </row>
    <row r="19" spans="1:9" ht="51">
      <c r="A19" s="188" t="s">
        <v>10</v>
      </c>
      <c r="B19" s="188" t="s">
        <v>11</v>
      </c>
      <c r="C19" s="188" t="s">
        <v>13</v>
      </c>
      <c r="D19" s="188" t="s">
        <v>18</v>
      </c>
      <c r="E19" s="189" t="s">
        <v>19</v>
      </c>
      <c r="F19" s="34" t="s">
        <v>3</v>
      </c>
      <c r="G19" s="30" t="s">
        <v>743</v>
      </c>
      <c r="H19" s="189" t="s">
        <v>543</v>
      </c>
      <c r="I19" s="226"/>
    </row>
    <row r="20" spans="1:9" ht="38.25">
      <c r="A20" s="188" t="s">
        <v>10</v>
      </c>
      <c r="B20" s="181" t="s">
        <v>11</v>
      </c>
      <c r="C20" s="188" t="s">
        <v>13</v>
      </c>
      <c r="D20" s="188" t="s">
        <v>20</v>
      </c>
      <c r="E20" s="189" t="s">
        <v>21</v>
      </c>
      <c r="F20" s="34" t="s">
        <v>3</v>
      </c>
      <c r="G20" s="30" t="s">
        <v>743</v>
      </c>
      <c r="H20" s="189" t="s">
        <v>766</v>
      </c>
      <c r="I20" s="226"/>
    </row>
    <row r="21" spans="1:9" ht="63.75">
      <c r="A21" s="188" t="s">
        <v>10</v>
      </c>
      <c r="B21" s="188" t="s">
        <v>11</v>
      </c>
      <c r="C21" s="188" t="s">
        <v>13</v>
      </c>
      <c r="D21" s="188" t="s">
        <v>22</v>
      </c>
      <c r="E21" s="189" t="s">
        <v>23</v>
      </c>
      <c r="F21" s="34" t="s">
        <v>3</v>
      </c>
      <c r="G21" s="30" t="s">
        <v>743</v>
      </c>
      <c r="H21" s="189" t="s">
        <v>767</v>
      </c>
      <c r="I21" s="226"/>
    </row>
    <row r="22" spans="1:9" ht="63.75">
      <c r="A22" s="188" t="s">
        <v>10</v>
      </c>
      <c r="B22" s="181" t="s">
        <v>11</v>
      </c>
      <c r="C22" s="188" t="s">
        <v>13</v>
      </c>
      <c r="D22" s="188" t="s">
        <v>24</v>
      </c>
      <c r="E22" s="189" t="s">
        <v>25</v>
      </c>
      <c r="F22" s="34" t="s">
        <v>3</v>
      </c>
      <c r="G22" s="30" t="s">
        <v>743</v>
      </c>
      <c r="H22" s="189" t="s">
        <v>768</v>
      </c>
      <c r="I22" s="226"/>
    </row>
    <row r="23" spans="1:9" ht="38.25">
      <c r="A23" s="188" t="s">
        <v>10</v>
      </c>
      <c r="B23" s="188" t="s">
        <v>11</v>
      </c>
      <c r="C23" s="188" t="s">
        <v>13</v>
      </c>
      <c r="D23" s="188" t="s">
        <v>26</v>
      </c>
      <c r="E23" s="189" t="s">
        <v>27</v>
      </c>
      <c r="F23" s="34" t="s">
        <v>3</v>
      </c>
      <c r="G23" s="30" t="s">
        <v>743</v>
      </c>
      <c r="H23" s="189" t="s">
        <v>769</v>
      </c>
      <c r="I23" s="226"/>
    </row>
    <row r="24" spans="1:9" ht="51">
      <c r="A24" s="188" t="s">
        <v>10</v>
      </c>
      <c r="B24" s="181" t="s">
        <v>11</v>
      </c>
      <c r="C24" s="188" t="s">
        <v>13</v>
      </c>
      <c r="D24" s="188" t="s">
        <v>28</v>
      </c>
      <c r="E24" s="189" t="s">
        <v>29</v>
      </c>
      <c r="F24" s="34" t="s">
        <v>3</v>
      </c>
      <c r="G24" s="30" t="s">
        <v>743</v>
      </c>
      <c r="H24" s="189" t="s">
        <v>770</v>
      </c>
      <c r="I24" s="226"/>
    </row>
    <row r="25" spans="1:9" ht="51">
      <c r="A25" s="188" t="s">
        <v>10</v>
      </c>
      <c r="B25" s="188" t="s">
        <v>11</v>
      </c>
      <c r="C25" s="188" t="s">
        <v>13</v>
      </c>
      <c r="D25" s="188" t="s">
        <v>30</v>
      </c>
      <c r="E25" s="189" t="s">
        <v>31</v>
      </c>
      <c r="F25" s="34" t="s">
        <v>3</v>
      </c>
      <c r="G25" s="30" t="s">
        <v>743</v>
      </c>
      <c r="H25" s="189" t="s">
        <v>771</v>
      </c>
      <c r="I25" s="226"/>
    </row>
    <row r="26" spans="1:9" ht="51">
      <c r="A26" s="188" t="s">
        <v>10</v>
      </c>
      <c r="B26" s="181" t="s">
        <v>11</v>
      </c>
      <c r="C26" s="188" t="s">
        <v>13</v>
      </c>
      <c r="D26" s="188" t="s">
        <v>32</v>
      </c>
      <c r="E26" s="182" t="s">
        <v>33</v>
      </c>
      <c r="F26" s="34" t="s">
        <v>3</v>
      </c>
      <c r="G26" s="30" t="s">
        <v>743</v>
      </c>
      <c r="H26" s="209" t="s">
        <v>811</v>
      </c>
      <c r="I26" s="226"/>
    </row>
    <row r="27" spans="1:9" ht="36">
      <c r="A27" s="188" t="s">
        <v>10</v>
      </c>
      <c r="B27" s="188" t="s">
        <v>11</v>
      </c>
      <c r="C27" s="188" t="s">
        <v>13</v>
      </c>
      <c r="D27" s="188" t="s">
        <v>34</v>
      </c>
      <c r="E27" s="182" t="s">
        <v>35</v>
      </c>
      <c r="F27" s="34" t="s">
        <v>3</v>
      </c>
      <c r="G27" s="30" t="s">
        <v>743</v>
      </c>
      <c r="H27" s="209" t="s">
        <v>772</v>
      </c>
      <c r="I27" s="226"/>
    </row>
    <row r="28" spans="1:9" ht="51">
      <c r="A28" s="188" t="s">
        <v>10</v>
      </c>
      <c r="B28" s="181" t="s">
        <v>11</v>
      </c>
      <c r="C28" s="188" t="s">
        <v>13</v>
      </c>
      <c r="D28" s="188" t="s">
        <v>36</v>
      </c>
      <c r="E28" s="257" t="s">
        <v>37</v>
      </c>
      <c r="F28" s="34" t="s">
        <v>3</v>
      </c>
      <c r="G28" s="30" t="s">
        <v>743</v>
      </c>
      <c r="H28" s="209" t="s">
        <v>812</v>
      </c>
      <c r="I28" s="226"/>
    </row>
    <row r="29" spans="1:9" ht="38.25">
      <c r="A29" s="188" t="s">
        <v>10</v>
      </c>
      <c r="B29" s="188" t="s">
        <v>11</v>
      </c>
      <c r="C29" s="188" t="s">
        <v>13</v>
      </c>
      <c r="D29" s="188" t="s">
        <v>38</v>
      </c>
      <c r="E29" s="182" t="s">
        <v>39</v>
      </c>
      <c r="F29" s="34" t="s">
        <v>3</v>
      </c>
      <c r="G29" s="30" t="s">
        <v>743</v>
      </c>
      <c r="H29" s="209" t="s">
        <v>773</v>
      </c>
      <c r="I29" s="226"/>
    </row>
    <row r="30" spans="1:9" ht="25.5">
      <c r="A30" s="188" t="s">
        <v>10</v>
      </c>
      <c r="B30" s="181" t="s">
        <v>11</v>
      </c>
      <c r="C30" s="188" t="s">
        <v>13</v>
      </c>
      <c r="D30" s="188" t="s">
        <v>40</v>
      </c>
      <c r="E30" s="182" t="s">
        <v>41</v>
      </c>
      <c r="F30" s="34" t="s">
        <v>3</v>
      </c>
      <c r="G30" s="30" t="s">
        <v>743</v>
      </c>
      <c r="H30" s="189" t="s">
        <v>544</v>
      </c>
      <c r="I30" s="226"/>
    </row>
    <row r="31" spans="1:9" ht="114.75">
      <c r="A31" s="188" t="s">
        <v>10</v>
      </c>
      <c r="B31" s="188" t="s">
        <v>11</v>
      </c>
      <c r="C31" s="188" t="s">
        <v>13</v>
      </c>
      <c r="D31" s="188" t="s">
        <v>42</v>
      </c>
      <c r="E31" s="182" t="s">
        <v>43</v>
      </c>
      <c r="F31" s="34" t="s">
        <v>3</v>
      </c>
      <c r="G31" s="30" t="s">
        <v>743</v>
      </c>
      <c r="H31" s="189" t="s">
        <v>774</v>
      </c>
      <c r="I31" s="226"/>
    </row>
    <row r="32" spans="1:9" ht="76.5">
      <c r="A32" s="188" t="s">
        <v>10</v>
      </c>
      <c r="B32" s="181" t="s">
        <v>11</v>
      </c>
      <c r="C32" s="188" t="s">
        <v>13</v>
      </c>
      <c r="D32" s="188" t="s">
        <v>44</v>
      </c>
      <c r="E32" s="257" t="s">
        <v>849</v>
      </c>
      <c r="F32" s="34" t="s">
        <v>3</v>
      </c>
      <c r="G32" s="30" t="s">
        <v>743</v>
      </c>
      <c r="H32" s="189" t="s">
        <v>775</v>
      </c>
      <c r="I32" s="226"/>
    </row>
    <row r="33" spans="1:9" ht="51">
      <c r="A33" s="188" t="s">
        <v>10</v>
      </c>
      <c r="B33" s="188" t="s">
        <v>11</v>
      </c>
      <c r="C33" s="188" t="s">
        <v>13</v>
      </c>
      <c r="D33" s="188" t="s">
        <v>46</v>
      </c>
      <c r="E33" s="182" t="s">
        <v>47</v>
      </c>
      <c r="F33" s="34" t="s">
        <v>3</v>
      </c>
      <c r="G33" s="30" t="s">
        <v>743</v>
      </c>
      <c r="H33" s="189" t="s">
        <v>776</v>
      </c>
      <c r="I33" s="226"/>
    </row>
    <row r="34" spans="1:9" ht="38.25">
      <c r="A34" s="188" t="s">
        <v>10</v>
      </c>
      <c r="B34" s="181" t="s">
        <v>11</v>
      </c>
      <c r="C34" s="188" t="s">
        <v>13</v>
      </c>
      <c r="D34" s="188" t="s">
        <v>48</v>
      </c>
      <c r="E34" s="182" t="s">
        <v>49</v>
      </c>
      <c r="F34" s="34" t="s">
        <v>3</v>
      </c>
      <c r="G34" s="30" t="s">
        <v>743</v>
      </c>
      <c r="H34" s="189" t="s">
        <v>813</v>
      </c>
      <c r="I34" s="226"/>
    </row>
    <row r="35" spans="1:9" ht="38.25">
      <c r="A35" s="188" t="s">
        <v>10</v>
      </c>
      <c r="B35" s="188" t="s">
        <v>11</v>
      </c>
      <c r="C35" s="188" t="s">
        <v>13</v>
      </c>
      <c r="D35" s="188" t="s">
        <v>50</v>
      </c>
      <c r="E35" s="182" t="s">
        <v>51</v>
      </c>
      <c r="F35" s="34" t="s">
        <v>3</v>
      </c>
      <c r="G35" s="30" t="s">
        <v>743</v>
      </c>
      <c r="H35" s="189" t="s">
        <v>777</v>
      </c>
      <c r="I35" s="226"/>
    </row>
    <row r="36" spans="1:9" ht="51">
      <c r="A36" s="188" t="s">
        <v>10</v>
      </c>
      <c r="B36" s="181" t="s">
        <v>11</v>
      </c>
      <c r="C36" s="188" t="s">
        <v>13</v>
      </c>
      <c r="D36" s="188" t="s">
        <v>545</v>
      </c>
      <c r="E36" s="182" t="s">
        <v>546</v>
      </c>
      <c r="F36" s="34" t="s">
        <v>3</v>
      </c>
      <c r="G36" s="30" t="s">
        <v>743</v>
      </c>
      <c r="H36" s="189" t="s">
        <v>778</v>
      </c>
      <c r="I36" s="226"/>
    </row>
    <row r="37" spans="1:9" ht="51">
      <c r="A37" s="188" t="s">
        <v>10</v>
      </c>
      <c r="B37" s="188" t="s">
        <v>11</v>
      </c>
      <c r="C37" s="188" t="s">
        <v>18</v>
      </c>
      <c r="D37" s="188"/>
      <c r="E37" s="182" t="s">
        <v>52</v>
      </c>
      <c r="F37" s="34" t="s">
        <v>3</v>
      </c>
      <c r="G37" s="30" t="s">
        <v>743</v>
      </c>
      <c r="H37" s="189" t="s">
        <v>779</v>
      </c>
      <c r="I37" s="226"/>
    </row>
    <row r="38" spans="1:9" ht="38.25">
      <c r="A38" s="188" t="s">
        <v>10</v>
      </c>
      <c r="B38" s="181" t="s">
        <v>11</v>
      </c>
      <c r="C38" s="188" t="s">
        <v>18</v>
      </c>
      <c r="D38" s="188" t="s">
        <v>13</v>
      </c>
      <c r="E38" s="182" t="s">
        <v>547</v>
      </c>
      <c r="F38" s="34" t="s">
        <v>3</v>
      </c>
      <c r="G38" s="30" t="s">
        <v>743</v>
      </c>
      <c r="H38" s="209" t="s">
        <v>814</v>
      </c>
      <c r="I38" s="226"/>
    </row>
    <row r="39" spans="1:9" ht="51">
      <c r="A39" s="188" t="s">
        <v>10</v>
      </c>
      <c r="B39" s="188" t="s">
        <v>11</v>
      </c>
      <c r="C39" s="188" t="s">
        <v>20</v>
      </c>
      <c r="D39" s="188"/>
      <c r="E39" s="182" t="s">
        <v>53</v>
      </c>
      <c r="F39" s="34" t="s">
        <v>3</v>
      </c>
      <c r="G39" s="30" t="s">
        <v>548</v>
      </c>
      <c r="H39" s="189"/>
      <c r="I39" s="226"/>
    </row>
    <row r="40" spans="1:9" ht="38.25">
      <c r="A40" s="188" t="s">
        <v>10</v>
      </c>
      <c r="B40" s="181" t="s">
        <v>11</v>
      </c>
      <c r="C40" s="188" t="s">
        <v>20</v>
      </c>
      <c r="D40" s="188" t="s">
        <v>13</v>
      </c>
      <c r="E40" s="182" t="s">
        <v>54</v>
      </c>
      <c r="F40" s="34" t="s">
        <v>3</v>
      </c>
      <c r="G40" s="30" t="s">
        <v>548</v>
      </c>
      <c r="H40" s="189" t="s">
        <v>549</v>
      </c>
      <c r="I40" s="226"/>
    </row>
    <row r="41" spans="1:9" ht="38.25">
      <c r="A41" s="188" t="s">
        <v>10</v>
      </c>
      <c r="B41" s="188" t="s">
        <v>11</v>
      </c>
      <c r="C41" s="188" t="s">
        <v>22</v>
      </c>
      <c r="D41" s="188"/>
      <c r="E41" s="182" t="s">
        <v>55</v>
      </c>
      <c r="F41" s="34" t="s">
        <v>3</v>
      </c>
      <c r="G41" s="30" t="s">
        <v>548</v>
      </c>
      <c r="H41" s="189"/>
      <c r="I41" s="226"/>
    </row>
    <row r="42" spans="1:9" ht="63.75">
      <c r="A42" s="188" t="s">
        <v>10</v>
      </c>
      <c r="B42" s="181" t="s">
        <v>11</v>
      </c>
      <c r="C42" s="188" t="s">
        <v>22</v>
      </c>
      <c r="D42" s="188" t="s">
        <v>13</v>
      </c>
      <c r="E42" s="182" t="s">
        <v>56</v>
      </c>
      <c r="F42" s="34" t="s">
        <v>3</v>
      </c>
      <c r="G42" s="30" t="s">
        <v>548</v>
      </c>
      <c r="H42" s="189" t="s">
        <v>550</v>
      </c>
      <c r="I42" s="226"/>
    </row>
    <row r="43" spans="1:9" ht="40.5" customHeight="1">
      <c r="A43" s="188" t="s">
        <v>10</v>
      </c>
      <c r="B43" s="188" t="s">
        <v>11</v>
      </c>
      <c r="C43" s="188" t="s">
        <v>24</v>
      </c>
      <c r="D43" s="188"/>
      <c r="E43" s="182" t="s">
        <v>736</v>
      </c>
      <c r="F43" s="34" t="s">
        <v>3</v>
      </c>
      <c r="G43" s="30" t="s">
        <v>743</v>
      </c>
      <c r="H43" s="189" t="s">
        <v>551</v>
      </c>
      <c r="I43" s="226"/>
    </row>
    <row r="44" spans="1:9" ht="38.25">
      <c r="A44" s="188" t="s">
        <v>10</v>
      </c>
      <c r="B44" s="181" t="s">
        <v>11</v>
      </c>
      <c r="C44" s="188" t="s">
        <v>24</v>
      </c>
      <c r="D44" s="188" t="s">
        <v>13</v>
      </c>
      <c r="E44" s="182" t="s">
        <v>57</v>
      </c>
      <c r="F44" s="34" t="s">
        <v>3</v>
      </c>
      <c r="G44" s="30" t="s">
        <v>548</v>
      </c>
      <c r="H44" s="189" t="s">
        <v>552</v>
      </c>
      <c r="I44" s="226"/>
    </row>
    <row r="45" spans="1:9" ht="51">
      <c r="A45" s="188" t="s">
        <v>10</v>
      </c>
      <c r="B45" s="188" t="s">
        <v>11</v>
      </c>
      <c r="C45" s="188" t="s">
        <v>24</v>
      </c>
      <c r="D45" s="188" t="s">
        <v>16</v>
      </c>
      <c r="E45" s="182" t="s">
        <v>58</v>
      </c>
      <c r="F45" s="34" t="s">
        <v>3</v>
      </c>
      <c r="G45" s="30" t="s">
        <v>548</v>
      </c>
      <c r="H45" s="189" t="s">
        <v>552</v>
      </c>
      <c r="I45" s="226"/>
    </row>
    <row r="46" spans="1:9" ht="38.25">
      <c r="A46" s="188" t="s">
        <v>10</v>
      </c>
      <c r="B46" s="181" t="s">
        <v>11</v>
      </c>
      <c r="C46" s="188" t="s">
        <v>24</v>
      </c>
      <c r="D46" s="188" t="s">
        <v>18</v>
      </c>
      <c r="E46" s="182" t="s">
        <v>59</v>
      </c>
      <c r="F46" s="34" t="s">
        <v>3</v>
      </c>
      <c r="G46" s="30" t="s">
        <v>548</v>
      </c>
      <c r="H46" s="189" t="s">
        <v>552</v>
      </c>
      <c r="I46" s="226"/>
    </row>
    <row r="47" spans="1:9" ht="51">
      <c r="A47" s="188" t="s">
        <v>10</v>
      </c>
      <c r="B47" s="188" t="s">
        <v>11</v>
      </c>
      <c r="C47" s="188" t="s">
        <v>24</v>
      </c>
      <c r="D47" s="188" t="s">
        <v>20</v>
      </c>
      <c r="E47" s="182" t="s">
        <v>60</v>
      </c>
      <c r="F47" s="34" t="s">
        <v>3</v>
      </c>
      <c r="G47" s="30" t="s">
        <v>548</v>
      </c>
      <c r="H47" s="189" t="s">
        <v>552</v>
      </c>
      <c r="I47" s="226"/>
    </row>
    <row r="48" spans="1:9" ht="38.25">
      <c r="A48" s="188" t="s">
        <v>10</v>
      </c>
      <c r="B48" s="181" t="s">
        <v>11</v>
      </c>
      <c r="C48" s="188" t="s">
        <v>24</v>
      </c>
      <c r="D48" s="188" t="s">
        <v>22</v>
      </c>
      <c r="E48" s="182" t="s">
        <v>61</v>
      </c>
      <c r="F48" s="34" t="s">
        <v>3</v>
      </c>
      <c r="G48" s="30" t="s">
        <v>548</v>
      </c>
      <c r="H48" s="189" t="s">
        <v>552</v>
      </c>
      <c r="I48" s="226"/>
    </row>
    <row r="49" spans="1:10" ht="38.25">
      <c r="A49" s="188" t="s">
        <v>10</v>
      </c>
      <c r="B49" s="188" t="s">
        <v>11</v>
      </c>
      <c r="C49" s="188" t="s">
        <v>24</v>
      </c>
      <c r="D49" s="188" t="s">
        <v>24</v>
      </c>
      <c r="E49" s="182" t="s">
        <v>62</v>
      </c>
      <c r="F49" s="34" t="s">
        <v>3</v>
      </c>
      <c r="G49" s="30" t="s">
        <v>548</v>
      </c>
      <c r="H49" s="189" t="s">
        <v>552</v>
      </c>
      <c r="I49" s="226"/>
    </row>
    <row r="50" spans="1:10" ht="38.25">
      <c r="A50" s="188" t="s">
        <v>10</v>
      </c>
      <c r="B50" s="181" t="s">
        <v>11</v>
      </c>
      <c r="C50" s="188" t="s">
        <v>24</v>
      </c>
      <c r="D50" s="188" t="s">
        <v>26</v>
      </c>
      <c r="E50" s="182" t="s">
        <v>63</v>
      </c>
      <c r="F50" s="34" t="s">
        <v>3</v>
      </c>
      <c r="G50" s="30" t="s">
        <v>548</v>
      </c>
      <c r="H50" s="189" t="s">
        <v>552</v>
      </c>
      <c r="I50" s="226"/>
    </row>
    <row r="51" spans="1:10" ht="51">
      <c r="A51" s="188" t="s">
        <v>10</v>
      </c>
      <c r="B51" s="188" t="s">
        <v>11</v>
      </c>
      <c r="C51" s="188" t="s">
        <v>24</v>
      </c>
      <c r="D51" s="188" t="s">
        <v>28</v>
      </c>
      <c r="E51" s="182" t="s">
        <v>64</v>
      </c>
      <c r="F51" s="34" t="s">
        <v>3</v>
      </c>
      <c r="G51" s="227" t="s">
        <v>753</v>
      </c>
      <c r="H51" s="228" t="s">
        <v>780</v>
      </c>
      <c r="I51" s="226"/>
    </row>
    <row r="52" spans="1:10" ht="38.25">
      <c r="A52" s="188" t="s">
        <v>10</v>
      </c>
      <c r="B52" s="181" t="s">
        <v>11</v>
      </c>
      <c r="C52" s="188" t="s">
        <v>24</v>
      </c>
      <c r="D52" s="188" t="s">
        <v>30</v>
      </c>
      <c r="E52" s="182" t="s">
        <v>65</v>
      </c>
      <c r="F52" s="34" t="s">
        <v>3</v>
      </c>
      <c r="G52" s="30" t="s">
        <v>548</v>
      </c>
      <c r="H52" s="189" t="s">
        <v>552</v>
      </c>
      <c r="I52" s="226"/>
    </row>
    <row r="53" spans="1:10" ht="38.25">
      <c r="A53" s="188" t="s">
        <v>10</v>
      </c>
      <c r="B53" s="188" t="s">
        <v>11</v>
      </c>
      <c r="C53" s="188" t="s">
        <v>24</v>
      </c>
      <c r="D53" s="188" t="s">
        <v>32</v>
      </c>
      <c r="E53" s="182" t="s">
        <v>66</v>
      </c>
      <c r="F53" s="34" t="s">
        <v>3</v>
      </c>
      <c r="G53" s="30" t="s">
        <v>548</v>
      </c>
      <c r="H53" s="189" t="s">
        <v>552</v>
      </c>
      <c r="I53" s="226"/>
    </row>
    <row r="54" spans="1:10" ht="38.25">
      <c r="A54" s="188" t="s">
        <v>10</v>
      </c>
      <c r="B54" s="181" t="s">
        <v>11</v>
      </c>
      <c r="C54" s="188" t="s">
        <v>24</v>
      </c>
      <c r="D54" s="188" t="s">
        <v>34</v>
      </c>
      <c r="E54" s="182" t="s">
        <v>67</v>
      </c>
      <c r="F54" s="34" t="s">
        <v>3</v>
      </c>
      <c r="G54" s="30" t="s">
        <v>548</v>
      </c>
      <c r="H54" s="189" t="s">
        <v>552</v>
      </c>
      <c r="I54" s="226"/>
    </row>
    <row r="55" spans="1:10" ht="51" hidden="1">
      <c r="A55" s="188" t="s">
        <v>10</v>
      </c>
      <c r="B55" s="181" t="s">
        <v>11</v>
      </c>
      <c r="C55" s="188" t="s">
        <v>24</v>
      </c>
      <c r="D55" s="188" t="s">
        <v>34</v>
      </c>
      <c r="E55" s="189" t="s">
        <v>14</v>
      </c>
      <c r="F55" s="34" t="s">
        <v>3</v>
      </c>
      <c r="G55" s="30" t="s">
        <v>553</v>
      </c>
      <c r="H55" s="225"/>
      <c r="I55" s="226"/>
    </row>
    <row r="56" spans="1:10" ht="38.25" hidden="1">
      <c r="A56" s="188" t="s">
        <v>10</v>
      </c>
      <c r="B56" s="181" t="s">
        <v>11</v>
      </c>
      <c r="C56" s="188" t="s">
        <v>24</v>
      </c>
      <c r="D56" s="188" t="s">
        <v>34</v>
      </c>
      <c r="E56" s="189" t="s">
        <v>68</v>
      </c>
      <c r="F56" s="34" t="s">
        <v>3</v>
      </c>
      <c r="G56" s="30">
        <v>2015</v>
      </c>
      <c r="H56" s="34"/>
      <c r="I56" s="36" t="s">
        <v>554</v>
      </c>
    </row>
    <row r="57" spans="1:10" ht="51" hidden="1">
      <c r="A57" s="188" t="s">
        <v>10</v>
      </c>
      <c r="B57" s="181" t="s">
        <v>11</v>
      </c>
      <c r="C57" s="188" t="s">
        <v>24</v>
      </c>
      <c r="D57" s="188" t="s">
        <v>34</v>
      </c>
      <c r="E57" s="229" t="s">
        <v>555</v>
      </c>
      <c r="F57" s="34" t="s">
        <v>3</v>
      </c>
      <c r="G57" s="30">
        <v>2015</v>
      </c>
      <c r="H57" s="189" t="s">
        <v>556</v>
      </c>
      <c r="I57" s="226"/>
    </row>
    <row r="58" spans="1:10" ht="51" hidden="1">
      <c r="A58" s="188" t="s">
        <v>10</v>
      </c>
      <c r="B58" s="181" t="s">
        <v>11</v>
      </c>
      <c r="C58" s="188" t="s">
        <v>24</v>
      </c>
      <c r="D58" s="188" t="s">
        <v>34</v>
      </c>
      <c r="E58" s="229" t="s">
        <v>69</v>
      </c>
      <c r="F58" s="34" t="s">
        <v>3</v>
      </c>
      <c r="G58" s="30">
        <v>2015</v>
      </c>
      <c r="H58" s="189" t="s">
        <v>557</v>
      </c>
      <c r="I58" s="226"/>
    </row>
    <row r="59" spans="1:10" ht="51" hidden="1">
      <c r="A59" s="188" t="s">
        <v>10</v>
      </c>
      <c r="B59" s="181" t="s">
        <v>11</v>
      </c>
      <c r="C59" s="188" t="s">
        <v>24</v>
      </c>
      <c r="D59" s="188" t="s">
        <v>34</v>
      </c>
      <c r="E59" s="32" t="s">
        <v>70</v>
      </c>
      <c r="F59" s="34" t="s">
        <v>3</v>
      </c>
      <c r="G59" s="30">
        <v>2015</v>
      </c>
      <c r="H59" s="189" t="s">
        <v>558</v>
      </c>
      <c r="I59" s="226"/>
    </row>
    <row r="60" spans="1:10" ht="25.5" hidden="1">
      <c r="A60" s="188" t="s">
        <v>10</v>
      </c>
      <c r="B60" s="181" t="s">
        <v>11</v>
      </c>
      <c r="C60" s="188" t="s">
        <v>24</v>
      </c>
      <c r="D60" s="188" t="s">
        <v>34</v>
      </c>
      <c r="E60" s="38" t="s">
        <v>71</v>
      </c>
      <c r="F60" s="34" t="s">
        <v>3</v>
      </c>
      <c r="G60" s="30">
        <v>2015</v>
      </c>
      <c r="H60" s="189" t="s">
        <v>559</v>
      </c>
      <c r="I60" s="226"/>
    </row>
    <row r="61" spans="1:10" ht="38.25" hidden="1">
      <c r="A61" s="188" t="s">
        <v>10</v>
      </c>
      <c r="B61" s="181" t="s">
        <v>11</v>
      </c>
      <c r="C61" s="188" t="s">
        <v>24</v>
      </c>
      <c r="D61" s="188" t="s">
        <v>34</v>
      </c>
      <c r="E61" s="32" t="s">
        <v>72</v>
      </c>
      <c r="F61" s="34" t="s">
        <v>3</v>
      </c>
      <c r="G61" s="30">
        <v>2015</v>
      </c>
      <c r="H61" s="189" t="s">
        <v>560</v>
      </c>
      <c r="I61" s="226"/>
    </row>
    <row r="62" spans="1:10" ht="51" hidden="1">
      <c r="A62" s="188" t="s">
        <v>10</v>
      </c>
      <c r="B62" s="181" t="s">
        <v>11</v>
      </c>
      <c r="C62" s="188" t="s">
        <v>24</v>
      </c>
      <c r="D62" s="188" t="s">
        <v>34</v>
      </c>
      <c r="E62" s="32" t="s">
        <v>73</v>
      </c>
      <c r="F62" s="34" t="s">
        <v>3</v>
      </c>
      <c r="G62" s="30">
        <v>2015</v>
      </c>
      <c r="H62" s="189" t="s">
        <v>561</v>
      </c>
      <c r="I62" s="226"/>
    </row>
    <row r="63" spans="1:10" ht="71.25" hidden="1" customHeight="1">
      <c r="A63" s="188" t="s">
        <v>10</v>
      </c>
      <c r="B63" s="181" t="s">
        <v>11</v>
      </c>
      <c r="C63" s="188" t="s">
        <v>24</v>
      </c>
      <c r="D63" s="188" t="s">
        <v>34</v>
      </c>
      <c r="E63" s="32" t="s">
        <v>74</v>
      </c>
      <c r="F63" s="34" t="s">
        <v>3</v>
      </c>
      <c r="G63" s="30">
        <v>2015</v>
      </c>
      <c r="H63" s="32" t="s">
        <v>562</v>
      </c>
      <c r="I63" s="226"/>
      <c r="J63" s="230" t="s">
        <v>563</v>
      </c>
    </row>
    <row r="64" spans="1:10" ht="38.25" hidden="1">
      <c r="A64" s="188" t="s">
        <v>10</v>
      </c>
      <c r="B64" s="181" t="s">
        <v>11</v>
      </c>
      <c r="C64" s="188" t="s">
        <v>24</v>
      </c>
      <c r="D64" s="188" t="s">
        <v>34</v>
      </c>
      <c r="E64" s="32" t="s">
        <v>564</v>
      </c>
      <c r="F64" s="34" t="s">
        <v>3</v>
      </c>
      <c r="G64" s="30">
        <v>2015</v>
      </c>
      <c r="H64" s="32" t="s">
        <v>565</v>
      </c>
      <c r="I64" s="226"/>
    </row>
    <row r="65" spans="1:16" ht="51" hidden="1">
      <c r="A65" s="188" t="s">
        <v>10</v>
      </c>
      <c r="B65" s="181" t="s">
        <v>11</v>
      </c>
      <c r="C65" s="188" t="s">
        <v>24</v>
      </c>
      <c r="D65" s="188" t="s">
        <v>34</v>
      </c>
      <c r="E65" s="32" t="s">
        <v>566</v>
      </c>
      <c r="F65" s="34" t="s">
        <v>3</v>
      </c>
      <c r="G65" s="30">
        <v>2015</v>
      </c>
      <c r="H65" s="189" t="s">
        <v>567</v>
      </c>
      <c r="I65" s="226"/>
    </row>
    <row r="66" spans="1:16" ht="76.5" hidden="1">
      <c r="A66" s="188" t="s">
        <v>10</v>
      </c>
      <c r="B66" s="181" t="s">
        <v>11</v>
      </c>
      <c r="C66" s="188" t="s">
        <v>24</v>
      </c>
      <c r="D66" s="188" t="s">
        <v>34</v>
      </c>
      <c r="E66" s="32" t="s">
        <v>568</v>
      </c>
      <c r="F66" s="34" t="s">
        <v>3</v>
      </c>
      <c r="G66" s="30">
        <v>2015</v>
      </c>
      <c r="H66" s="189" t="s">
        <v>569</v>
      </c>
      <c r="I66" s="226"/>
    </row>
    <row r="67" spans="1:16" ht="51" hidden="1">
      <c r="A67" s="188" t="s">
        <v>10</v>
      </c>
      <c r="B67" s="181" t="s">
        <v>11</v>
      </c>
      <c r="C67" s="188" t="s">
        <v>24</v>
      </c>
      <c r="D67" s="188" t="s">
        <v>34</v>
      </c>
      <c r="E67" s="32" t="s">
        <v>75</v>
      </c>
      <c r="F67" s="34" t="s">
        <v>3</v>
      </c>
      <c r="G67" s="30">
        <v>2015</v>
      </c>
      <c r="H67" s="189" t="s">
        <v>551</v>
      </c>
      <c r="I67" s="226"/>
    </row>
    <row r="68" spans="1:16" ht="63.75">
      <c r="A68" s="188" t="s">
        <v>10</v>
      </c>
      <c r="B68" s="181" t="s">
        <v>11</v>
      </c>
      <c r="C68" s="188" t="s">
        <v>24</v>
      </c>
      <c r="D68" s="188" t="s">
        <v>36</v>
      </c>
      <c r="E68" s="189" t="s">
        <v>570</v>
      </c>
      <c r="F68" s="34" t="s">
        <v>3</v>
      </c>
      <c r="G68" s="30" t="s">
        <v>805</v>
      </c>
      <c r="H68" s="189" t="s">
        <v>551</v>
      </c>
      <c r="I68" s="226"/>
    </row>
    <row r="69" spans="1:16" ht="127.5" customHeight="1">
      <c r="A69" s="36" t="s">
        <v>10</v>
      </c>
      <c r="B69" s="188" t="s">
        <v>76</v>
      </c>
      <c r="C69" s="188"/>
      <c r="D69" s="34"/>
      <c r="E69" s="189" t="s">
        <v>77</v>
      </c>
      <c r="F69" s="34" t="s">
        <v>571</v>
      </c>
      <c r="G69" s="30" t="s">
        <v>743</v>
      </c>
      <c r="H69" s="189"/>
      <c r="I69" s="226"/>
    </row>
    <row r="70" spans="1:16" ht="25.5">
      <c r="A70" s="36" t="s">
        <v>10</v>
      </c>
      <c r="B70" s="188" t="s">
        <v>76</v>
      </c>
      <c r="C70" s="188" t="s">
        <v>13</v>
      </c>
      <c r="D70" s="34"/>
      <c r="E70" s="189" t="s">
        <v>572</v>
      </c>
      <c r="F70" s="34" t="s">
        <v>3</v>
      </c>
      <c r="G70" s="30" t="s">
        <v>743</v>
      </c>
      <c r="H70" s="189" t="s">
        <v>573</v>
      </c>
      <c r="I70" s="226"/>
    </row>
    <row r="71" spans="1:16" ht="38.25">
      <c r="A71" s="188" t="s">
        <v>10</v>
      </c>
      <c r="B71" s="188" t="s">
        <v>76</v>
      </c>
      <c r="C71" s="188" t="s">
        <v>13</v>
      </c>
      <c r="D71" s="188" t="s">
        <v>13</v>
      </c>
      <c r="E71" s="38" t="s">
        <v>78</v>
      </c>
      <c r="F71" s="34" t="s">
        <v>3</v>
      </c>
      <c r="G71" s="30" t="s">
        <v>758</v>
      </c>
      <c r="H71" s="209" t="s">
        <v>781</v>
      </c>
      <c r="I71" s="226"/>
    </row>
    <row r="72" spans="1:16">
      <c r="A72" s="188" t="s">
        <v>10</v>
      </c>
      <c r="B72" s="188" t="s">
        <v>76</v>
      </c>
      <c r="C72" s="188" t="s">
        <v>13</v>
      </c>
      <c r="D72" s="188" t="s">
        <v>16</v>
      </c>
      <c r="E72" s="189" t="s">
        <v>724</v>
      </c>
      <c r="F72" s="34" t="s">
        <v>3</v>
      </c>
      <c r="G72" s="30" t="s">
        <v>743</v>
      </c>
      <c r="H72" s="209" t="s">
        <v>782</v>
      </c>
      <c r="I72" s="226"/>
    </row>
    <row r="73" spans="1:16" ht="25.5">
      <c r="A73" s="188" t="s">
        <v>10</v>
      </c>
      <c r="B73" s="188" t="s">
        <v>76</v>
      </c>
      <c r="C73" s="188" t="s">
        <v>13</v>
      </c>
      <c r="D73" s="188" t="s">
        <v>18</v>
      </c>
      <c r="E73" s="189" t="s">
        <v>725</v>
      </c>
      <c r="F73" s="34" t="s">
        <v>3</v>
      </c>
      <c r="G73" s="30" t="s">
        <v>743</v>
      </c>
      <c r="H73" s="209" t="s">
        <v>783</v>
      </c>
      <c r="I73" s="226"/>
    </row>
    <row r="74" spans="1:16" ht="63.75">
      <c r="A74" s="36" t="s">
        <v>10</v>
      </c>
      <c r="B74" s="188" t="s">
        <v>76</v>
      </c>
      <c r="C74" s="188" t="s">
        <v>13</v>
      </c>
      <c r="D74" s="36" t="s">
        <v>20</v>
      </c>
      <c r="E74" s="189" t="s">
        <v>80</v>
      </c>
      <c r="F74" s="34" t="s">
        <v>3</v>
      </c>
      <c r="G74" s="30" t="s">
        <v>743</v>
      </c>
      <c r="H74" s="209" t="s">
        <v>784</v>
      </c>
      <c r="I74" s="226"/>
    </row>
    <row r="75" spans="1:16" ht="38.25">
      <c r="A75" s="180" t="s">
        <v>10</v>
      </c>
      <c r="B75" s="188" t="s">
        <v>76</v>
      </c>
      <c r="C75" s="180" t="s">
        <v>13</v>
      </c>
      <c r="D75" s="188" t="s">
        <v>22</v>
      </c>
      <c r="E75" s="189" t="s">
        <v>81</v>
      </c>
      <c r="F75" s="34" t="s">
        <v>3</v>
      </c>
      <c r="G75" s="30" t="s">
        <v>743</v>
      </c>
      <c r="H75" s="189" t="s">
        <v>815</v>
      </c>
      <c r="I75" s="226"/>
    </row>
    <row r="76" spans="1:16" ht="63.75">
      <c r="A76" s="188" t="s">
        <v>10</v>
      </c>
      <c r="B76" s="188" t="s">
        <v>76</v>
      </c>
      <c r="C76" s="188" t="s">
        <v>13</v>
      </c>
      <c r="D76" s="188" t="s">
        <v>24</v>
      </c>
      <c r="E76" s="189" t="s">
        <v>82</v>
      </c>
      <c r="F76" s="34" t="s">
        <v>3</v>
      </c>
      <c r="G76" s="30" t="s">
        <v>743</v>
      </c>
      <c r="H76" s="209" t="s">
        <v>785</v>
      </c>
      <c r="I76" s="226"/>
    </row>
    <row r="77" spans="1:16" ht="51">
      <c r="A77" s="188" t="s">
        <v>10</v>
      </c>
      <c r="B77" s="188" t="s">
        <v>76</v>
      </c>
      <c r="C77" s="188" t="s">
        <v>13</v>
      </c>
      <c r="D77" s="188" t="s">
        <v>26</v>
      </c>
      <c r="E77" s="189" t="s">
        <v>83</v>
      </c>
      <c r="F77" s="34" t="s">
        <v>3</v>
      </c>
      <c r="G77" s="30" t="s">
        <v>743</v>
      </c>
      <c r="H77" s="209" t="s">
        <v>786</v>
      </c>
      <c r="I77" s="226"/>
    </row>
    <row r="78" spans="1:16" s="236" customFormat="1" ht="36">
      <c r="A78" s="188" t="s">
        <v>10</v>
      </c>
      <c r="B78" s="188" t="s">
        <v>76</v>
      </c>
      <c r="C78" s="188" t="s">
        <v>13</v>
      </c>
      <c r="D78" s="188" t="s">
        <v>28</v>
      </c>
      <c r="E78" s="209" t="s">
        <v>726</v>
      </c>
      <c r="F78" s="34" t="s">
        <v>3</v>
      </c>
      <c r="G78" s="231" t="s">
        <v>758</v>
      </c>
      <c r="H78" s="209" t="s">
        <v>816</v>
      </c>
      <c r="I78" s="209"/>
      <c r="J78" s="209" t="s">
        <v>727</v>
      </c>
      <c r="K78" s="232" t="s">
        <v>723</v>
      </c>
      <c r="L78" s="233">
        <v>843</v>
      </c>
      <c r="M78" s="234" t="s">
        <v>32</v>
      </c>
      <c r="N78" s="234" t="s">
        <v>18</v>
      </c>
      <c r="O78" s="235" t="s">
        <v>728</v>
      </c>
      <c r="P78" s="235" t="s">
        <v>729</v>
      </c>
    </row>
    <row r="79" spans="1:16" s="236" customFormat="1" ht="24">
      <c r="A79" s="188" t="s">
        <v>10</v>
      </c>
      <c r="B79" s="188" t="s">
        <v>76</v>
      </c>
      <c r="C79" s="188" t="s">
        <v>13</v>
      </c>
      <c r="D79" s="188" t="s">
        <v>30</v>
      </c>
      <c r="E79" s="237" t="s">
        <v>730</v>
      </c>
      <c r="F79" s="34" t="s">
        <v>3</v>
      </c>
      <c r="G79" s="231" t="s">
        <v>758</v>
      </c>
      <c r="H79" s="209" t="s">
        <v>817</v>
      </c>
      <c r="I79" s="209"/>
      <c r="J79" s="209" t="s">
        <v>731</v>
      </c>
      <c r="K79" s="232"/>
      <c r="L79" s="233">
        <v>843</v>
      </c>
      <c r="M79" s="234" t="s">
        <v>32</v>
      </c>
      <c r="N79" s="234" t="s">
        <v>20</v>
      </c>
      <c r="O79" s="235" t="s">
        <v>732</v>
      </c>
      <c r="P79" s="235" t="s">
        <v>733</v>
      </c>
    </row>
    <row r="80" spans="1:16" ht="25.5">
      <c r="A80" s="188" t="s">
        <v>10</v>
      </c>
      <c r="B80" s="188" t="s">
        <v>76</v>
      </c>
      <c r="C80" s="188" t="s">
        <v>16</v>
      </c>
      <c r="D80" s="188"/>
      <c r="E80" s="189" t="s">
        <v>84</v>
      </c>
      <c r="F80" s="34" t="s">
        <v>3</v>
      </c>
      <c r="G80" s="30" t="s">
        <v>743</v>
      </c>
      <c r="H80" s="189"/>
      <c r="I80" s="226"/>
    </row>
    <row r="81" spans="1:9" ht="38.25">
      <c r="A81" s="188" t="s">
        <v>10</v>
      </c>
      <c r="B81" s="188" t="s">
        <v>76</v>
      </c>
      <c r="C81" s="188" t="s">
        <v>16</v>
      </c>
      <c r="D81" s="36" t="s">
        <v>13</v>
      </c>
      <c r="E81" s="189" t="s">
        <v>85</v>
      </c>
      <c r="F81" s="34" t="s">
        <v>3</v>
      </c>
      <c r="G81" s="30" t="s">
        <v>758</v>
      </c>
      <c r="H81" s="189" t="s">
        <v>574</v>
      </c>
      <c r="I81" s="226"/>
    </row>
    <row r="82" spans="1:9" ht="25.5">
      <c r="A82" s="188" t="s">
        <v>10</v>
      </c>
      <c r="B82" s="188" t="s">
        <v>76</v>
      </c>
      <c r="C82" s="188" t="s">
        <v>16</v>
      </c>
      <c r="D82" s="36" t="s">
        <v>16</v>
      </c>
      <c r="E82" s="189" t="s">
        <v>86</v>
      </c>
      <c r="F82" s="34" t="s">
        <v>3</v>
      </c>
      <c r="G82" s="30" t="s">
        <v>743</v>
      </c>
      <c r="H82" s="209" t="s">
        <v>787</v>
      </c>
      <c r="I82" s="226"/>
    </row>
    <row r="83" spans="1:9" ht="38.25">
      <c r="A83" s="188" t="s">
        <v>10</v>
      </c>
      <c r="B83" s="188" t="s">
        <v>76</v>
      </c>
      <c r="C83" s="188" t="s">
        <v>18</v>
      </c>
      <c r="D83" s="37"/>
      <c r="E83" s="189" t="s">
        <v>87</v>
      </c>
      <c r="F83" s="34" t="s">
        <v>3</v>
      </c>
      <c r="G83" s="30" t="s">
        <v>743</v>
      </c>
      <c r="H83" s="189" t="s">
        <v>575</v>
      </c>
      <c r="I83" s="226"/>
    </row>
    <row r="84" spans="1:9" ht="51">
      <c r="A84" s="180" t="s">
        <v>10</v>
      </c>
      <c r="B84" s="188" t="s">
        <v>76</v>
      </c>
      <c r="C84" s="180" t="s">
        <v>18</v>
      </c>
      <c r="D84" s="36" t="s">
        <v>13</v>
      </c>
      <c r="E84" s="189" t="s">
        <v>88</v>
      </c>
      <c r="F84" s="34" t="s">
        <v>3</v>
      </c>
      <c r="G84" s="30" t="s">
        <v>743</v>
      </c>
      <c r="H84" s="189" t="s">
        <v>575</v>
      </c>
      <c r="I84" s="226"/>
    </row>
    <row r="85" spans="1:9" ht="25.5">
      <c r="A85" s="188" t="s">
        <v>10</v>
      </c>
      <c r="B85" s="188" t="s">
        <v>76</v>
      </c>
      <c r="C85" s="188" t="s">
        <v>20</v>
      </c>
      <c r="D85" s="30"/>
      <c r="E85" s="189" t="s">
        <v>89</v>
      </c>
      <c r="F85" s="34" t="s">
        <v>3</v>
      </c>
      <c r="G85" s="30" t="s">
        <v>743</v>
      </c>
      <c r="H85" s="189" t="s">
        <v>576</v>
      </c>
      <c r="I85" s="188" t="s">
        <v>577</v>
      </c>
    </row>
    <row r="86" spans="1:9" ht="157.5" customHeight="1">
      <c r="A86" s="188" t="s">
        <v>10</v>
      </c>
      <c r="B86" s="188" t="s">
        <v>76</v>
      </c>
      <c r="C86" s="188" t="s">
        <v>20</v>
      </c>
      <c r="D86" s="188" t="s">
        <v>13</v>
      </c>
      <c r="E86" s="189" t="s">
        <v>578</v>
      </c>
      <c r="F86" s="34" t="s">
        <v>3</v>
      </c>
      <c r="G86" s="30" t="s">
        <v>743</v>
      </c>
      <c r="H86" s="189" t="s">
        <v>576</v>
      </c>
      <c r="I86" s="226"/>
    </row>
    <row r="87" spans="1:9" ht="76.5">
      <c r="A87" s="188" t="s">
        <v>10</v>
      </c>
      <c r="B87" s="188" t="s">
        <v>76</v>
      </c>
      <c r="C87" s="188" t="s">
        <v>20</v>
      </c>
      <c r="D87" s="188" t="s">
        <v>16</v>
      </c>
      <c r="E87" s="189" t="s">
        <v>90</v>
      </c>
      <c r="F87" s="34" t="s">
        <v>3</v>
      </c>
      <c r="G87" s="30" t="s">
        <v>743</v>
      </c>
      <c r="H87" s="189" t="s">
        <v>576</v>
      </c>
      <c r="I87" s="226"/>
    </row>
    <row r="88" spans="1:9">
      <c r="A88" s="389" t="s">
        <v>10</v>
      </c>
      <c r="B88" s="389" t="s">
        <v>76</v>
      </c>
      <c r="C88" s="389" t="s">
        <v>24</v>
      </c>
      <c r="D88" s="389"/>
      <c r="E88" s="392" t="s">
        <v>91</v>
      </c>
      <c r="F88" s="34" t="s">
        <v>3</v>
      </c>
      <c r="G88" s="395" t="s">
        <v>743</v>
      </c>
      <c r="H88" s="392" t="s">
        <v>579</v>
      </c>
      <c r="I88" s="398" t="s">
        <v>580</v>
      </c>
    </row>
    <row r="89" spans="1:9" ht="38.25">
      <c r="A89" s="390"/>
      <c r="B89" s="390"/>
      <c r="C89" s="390"/>
      <c r="D89" s="390"/>
      <c r="E89" s="393"/>
      <c r="F89" s="34" t="s">
        <v>92</v>
      </c>
      <c r="G89" s="396"/>
      <c r="H89" s="393"/>
      <c r="I89" s="399"/>
    </row>
    <row r="90" spans="1:9" ht="38.25">
      <c r="A90" s="391"/>
      <c r="B90" s="391"/>
      <c r="C90" s="391"/>
      <c r="D90" s="391"/>
      <c r="E90" s="394"/>
      <c r="F90" s="34" t="s">
        <v>93</v>
      </c>
      <c r="G90" s="397"/>
      <c r="H90" s="394"/>
      <c r="I90" s="400"/>
    </row>
    <row r="91" spans="1:9" ht="25.5">
      <c r="A91" s="39" t="s">
        <v>10</v>
      </c>
      <c r="B91" s="39" t="s">
        <v>76</v>
      </c>
      <c r="C91" s="39" t="s">
        <v>24</v>
      </c>
      <c r="D91" s="39" t="s">
        <v>13</v>
      </c>
      <c r="E91" s="189" t="s">
        <v>94</v>
      </c>
      <c r="F91" s="34" t="s">
        <v>3</v>
      </c>
      <c r="G91" s="30" t="s">
        <v>743</v>
      </c>
      <c r="H91" s="189" t="s">
        <v>788</v>
      </c>
      <c r="I91" s="226"/>
    </row>
    <row r="92" spans="1:9" ht="59.25" customHeight="1">
      <c r="A92" s="39" t="s">
        <v>10</v>
      </c>
      <c r="B92" s="39" t="s">
        <v>76</v>
      </c>
      <c r="C92" s="39" t="s">
        <v>24</v>
      </c>
      <c r="D92" s="39" t="s">
        <v>16</v>
      </c>
      <c r="E92" s="189" t="s">
        <v>95</v>
      </c>
      <c r="F92" s="34" t="s">
        <v>3</v>
      </c>
      <c r="G92" s="30" t="s">
        <v>743</v>
      </c>
      <c r="H92" s="189" t="s">
        <v>579</v>
      </c>
      <c r="I92" s="226"/>
    </row>
    <row r="93" spans="1:9" ht="51">
      <c r="A93" s="39" t="s">
        <v>10</v>
      </c>
      <c r="B93" s="39" t="s">
        <v>76</v>
      </c>
      <c r="C93" s="39" t="s">
        <v>24</v>
      </c>
      <c r="D93" s="39" t="s">
        <v>18</v>
      </c>
      <c r="E93" s="189" t="s">
        <v>96</v>
      </c>
      <c r="F93" s="34" t="s">
        <v>3</v>
      </c>
      <c r="G93" s="30" t="s">
        <v>743</v>
      </c>
      <c r="H93" s="209" t="s">
        <v>789</v>
      </c>
      <c r="I93" s="226"/>
    </row>
    <row r="94" spans="1:9" ht="57.75" customHeight="1">
      <c r="A94" s="184" t="s">
        <v>10</v>
      </c>
      <c r="B94" s="184" t="s">
        <v>76</v>
      </c>
      <c r="C94" s="184" t="s">
        <v>26</v>
      </c>
      <c r="D94" s="184"/>
      <c r="E94" s="189" t="s">
        <v>97</v>
      </c>
      <c r="F94" s="34" t="s">
        <v>3</v>
      </c>
      <c r="G94" s="30" t="s">
        <v>743</v>
      </c>
      <c r="H94" s="189"/>
      <c r="I94" s="226"/>
    </row>
    <row r="95" spans="1:9" ht="51">
      <c r="A95" s="184" t="s">
        <v>10</v>
      </c>
      <c r="B95" s="184" t="s">
        <v>76</v>
      </c>
      <c r="C95" s="184" t="s">
        <v>26</v>
      </c>
      <c r="D95" s="184" t="s">
        <v>13</v>
      </c>
      <c r="E95" s="189" t="s">
        <v>98</v>
      </c>
      <c r="F95" s="34" t="s">
        <v>3</v>
      </c>
      <c r="G95" s="30" t="s">
        <v>743</v>
      </c>
      <c r="H95" s="189" t="s">
        <v>581</v>
      </c>
      <c r="I95" s="226"/>
    </row>
    <row r="96" spans="1:9" ht="51">
      <c r="A96" s="184" t="s">
        <v>10</v>
      </c>
      <c r="B96" s="184" t="s">
        <v>76</v>
      </c>
      <c r="C96" s="184" t="s">
        <v>26</v>
      </c>
      <c r="D96" s="184" t="s">
        <v>16</v>
      </c>
      <c r="E96" s="189" t="s">
        <v>99</v>
      </c>
      <c r="F96" s="34" t="s">
        <v>3</v>
      </c>
      <c r="G96" s="30" t="s">
        <v>743</v>
      </c>
      <c r="H96" s="189" t="s">
        <v>582</v>
      </c>
      <c r="I96" s="226"/>
    </row>
    <row r="97" spans="1:16" ht="51">
      <c r="A97" s="184" t="s">
        <v>10</v>
      </c>
      <c r="B97" s="184" t="s">
        <v>76</v>
      </c>
      <c r="C97" s="184" t="s">
        <v>26</v>
      </c>
      <c r="D97" s="184" t="s">
        <v>18</v>
      </c>
      <c r="E97" s="189" t="s">
        <v>100</v>
      </c>
      <c r="F97" s="34" t="s">
        <v>3</v>
      </c>
      <c r="G97" s="30" t="s">
        <v>743</v>
      </c>
      <c r="H97" s="189" t="s">
        <v>582</v>
      </c>
      <c r="I97" s="226"/>
    </row>
    <row r="98" spans="1:16" ht="38.25">
      <c r="A98" s="184" t="s">
        <v>10</v>
      </c>
      <c r="B98" s="184" t="s">
        <v>76</v>
      </c>
      <c r="C98" s="184" t="s">
        <v>26</v>
      </c>
      <c r="D98" s="184" t="s">
        <v>20</v>
      </c>
      <c r="E98" s="189" t="s">
        <v>101</v>
      </c>
      <c r="F98" s="34" t="s">
        <v>3</v>
      </c>
      <c r="G98" s="30" t="s">
        <v>743</v>
      </c>
      <c r="H98" s="189" t="s">
        <v>583</v>
      </c>
      <c r="I98" s="226"/>
    </row>
    <row r="99" spans="1:16" ht="25.5">
      <c r="A99" s="184" t="s">
        <v>10</v>
      </c>
      <c r="B99" s="184" t="s">
        <v>76</v>
      </c>
      <c r="C99" s="184" t="s">
        <v>26</v>
      </c>
      <c r="D99" s="184" t="s">
        <v>22</v>
      </c>
      <c r="E99" s="182" t="s">
        <v>751</v>
      </c>
      <c r="F99" s="34" t="s">
        <v>3</v>
      </c>
      <c r="G99" s="183"/>
      <c r="H99" s="209" t="s">
        <v>790</v>
      </c>
      <c r="I99" s="31"/>
      <c r="K99" s="216" t="s">
        <v>746</v>
      </c>
      <c r="M99" s="238" t="s">
        <v>752</v>
      </c>
      <c r="N99" s="238" t="s">
        <v>748</v>
      </c>
      <c r="O99" s="238">
        <v>3020708550</v>
      </c>
      <c r="P99" s="238" t="s">
        <v>251</v>
      </c>
    </row>
    <row r="100" spans="1:16" s="1" customFormat="1" ht="39">
      <c r="A100" s="186">
        <v>30</v>
      </c>
      <c r="B100" s="186">
        <v>2</v>
      </c>
      <c r="C100" s="186" t="s">
        <v>465</v>
      </c>
      <c r="D100" s="35"/>
      <c r="E100" s="35" t="s">
        <v>467</v>
      </c>
      <c r="F100" s="186" t="s">
        <v>3</v>
      </c>
      <c r="G100" s="186" t="s">
        <v>744</v>
      </c>
      <c r="H100" s="35"/>
      <c r="I100" s="239" t="s">
        <v>839</v>
      </c>
    </row>
    <row r="101" spans="1:16" s="1" customFormat="1" ht="52.5" customHeight="1">
      <c r="A101" s="186">
        <v>30</v>
      </c>
      <c r="B101" s="186">
        <v>2</v>
      </c>
      <c r="C101" s="186" t="s">
        <v>465</v>
      </c>
      <c r="D101" s="186">
        <v>1</v>
      </c>
      <c r="E101" s="240" t="s">
        <v>755</v>
      </c>
      <c r="F101" s="186" t="s">
        <v>3</v>
      </c>
      <c r="G101" s="186" t="s">
        <v>744</v>
      </c>
      <c r="H101" s="35" t="s">
        <v>818</v>
      </c>
      <c r="I101" s="35"/>
    </row>
    <row r="102" spans="1:16" s="210" customFormat="1" ht="35.25" customHeight="1">
      <c r="A102" s="34">
        <v>30</v>
      </c>
      <c r="B102" s="34">
        <v>2</v>
      </c>
      <c r="C102" s="186" t="s">
        <v>465</v>
      </c>
      <c r="D102" s="34">
        <v>2</v>
      </c>
      <c r="E102" s="32" t="s">
        <v>730</v>
      </c>
      <c r="F102" s="34" t="s">
        <v>3</v>
      </c>
      <c r="G102" s="186" t="s">
        <v>744</v>
      </c>
      <c r="H102" s="209" t="s">
        <v>819</v>
      </c>
      <c r="I102" s="32"/>
    </row>
    <row r="103" spans="1:16" s="210" customFormat="1" ht="84" customHeight="1">
      <c r="A103" s="34">
        <v>30</v>
      </c>
      <c r="B103" s="34">
        <v>2</v>
      </c>
      <c r="C103" s="186" t="s">
        <v>465</v>
      </c>
      <c r="D103" s="34">
        <v>3</v>
      </c>
      <c r="E103" s="32" t="s">
        <v>756</v>
      </c>
      <c r="F103" s="34" t="s">
        <v>3</v>
      </c>
      <c r="G103" s="186" t="s">
        <v>744</v>
      </c>
      <c r="H103" s="32" t="s">
        <v>791</v>
      </c>
      <c r="I103" s="32"/>
    </row>
    <row r="104" spans="1:16" s="210" customFormat="1" ht="89.25">
      <c r="A104" s="186">
        <v>30</v>
      </c>
      <c r="B104" s="211">
        <v>2</v>
      </c>
      <c r="C104" s="186" t="s">
        <v>470</v>
      </c>
      <c r="D104" s="34"/>
      <c r="E104" s="32" t="s">
        <v>471</v>
      </c>
      <c r="F104" s="34" t="s">
        <v>92</v>
      </c>
      <c r="G104" s="186" t="s">
        <v>744</v>
      </c>
      <c r="H104" s="32" t="s">
        <v>792</v>
      </c>
      <c r="I104" s="34" t="s">
        <v>840</v>
      </c>
    </row>
    <row r="105" spans="1:16" s="1" customFormat="1" ht="51">
      <c r="A105" s="186">
        <v>30</v>
      </c>
      <c r="B105" s="211">
        <v>2</v>
      </c>
      <c r="C105" s="186" t="s">
        <v>470</v>
      </c>
      <c r="D105" s="211">
        <v>1</v>
      </c>
      <c r="E105" s="35" t="s">
        <v>745</v>
      </c>
      <c r="F105" s="34" t="s">
        <v>92</v>
      </c>
      <c r="G105" s="186" t="s">
        <v>744</v>
      </c>
      <c r="H105" s="100" t="s">
        <v>853</v>
      </c>
      <c r="I105" s="35"/>
    </row>
    <row r="106" spans="1:16" ht="242.25">
      <c r="A106" s="36" t="s">
        <v>10</v>
      </c>
      <c r="B106" s="188" t="s">
        <v>111</v>
      </c>
      <c r="C106" s="188"/>
      <c r="D106" s="188"/>
      <c r="E106" s="189" t="s">
        <v>112</v>
      </c>
      <c r="F106" s="258" t="s">
        <v>852</v>
      </c>
      <c r="G106" s="30" t="s">
        <v>743</v>
      </c>
      <c r="H106" s="241"/>
      <c r="I106" s="226"/>
    </row>
    <row r="107" spans="1:16" ht="51">
      <c r="A107" s="188" t="s">
        <v>10</v>
      </c>
      <c r="B107" s="188" t="s">
        <v>111</v>
      </c>
      <c r="C107" s="188" t="s">
        <v>13</v>
      </c>
      <c r="D107" s="187"/>
      <c r="E107" s="38" t="s">
        <v>113</v>
      </c>
      <c r="F107" s="34" t="s">
        <v>3</v>
      </c>
      <c r="G107" s="30" t="s">
        <v>743</v>
      </c>
      <c r="H107" s="189" t="s">
        <v>585</v>
      </c>
      <c r="I107" s="36" t="s">
        <v>586</v>
      </c>
    </row>
    <row r="108" spans="1:16" ht="38.25">
      <c r="A108" s="188" t="s">
        <v>10</v>
      </c>
      <c r="B108" s="188" t="s">
        <v>111</v>
      </c>
      <c r="C108" s="188" t="s">
        <v>13</v>
      </c>
      <c r="D108" s="188" t="s">
        <v>13</v>
      </c>
      <c r="E108" s="38" t="s">
        <v>114</v>
      </c>
      <c r="F108" s="34" t="s">
        <v>3</v>
      </c>
      <c r="G108" s="30" t="s">
        <v>743</v>
      </c>
      <c r="H108" s="189" t="s">
        <v>587</v>
      </c>
      <c r="I108" s="226"/>
    </row>
    <row r="109" spans="1:16" ht="51">
      <c r="A109" s="188" t="s">
        <v>10</v>
      </c>
      <c r="B109" s="188" t="s">
        <v>111</v>
      </c>
      <c r="C109" s="188" t="s">
        <v>16</v>
      </c>
      <c r="D109" s="188"/>
      <c r="E109" s="38" t="s">
        <v>850</v>
      </c>
      <c r="F109" s="34" t="s">
        <v>3</v>
      </c>
      <c r="G109" s="30" t="s">
        <v>743</v>
      </c>
      <c r="H109" s="189"/>
      <c r="I109" s="36" t="s">
        <v>588</v>
      </c>
    </row>
    <row r="110" spans="1:16" ht="51">
      <c r="A110" s="188" t="s">
        <v>10</v>
      </c>
      <c r="B110" s="188" t="s">
        <v>111</v>
      </c>
      <c r="C110" s="188" t="s">
        <v>16</v>
      </c>
      <c r="D110" s="188" t="s">
        <v>13</v>
      </c>
      <c r="E110" s="38" t="s">
        <v>114</v>
      </c>
      <c r="F110" s="34" t="s">
        <v>3</v>
      </c>
      <c r="G110" s="30" t="s">
        <v>743</v>
      </c>
      <c r="H110" s="189" t="s">
        <v>589</v>
      </c>
      <c r="I110" s="226"/>
    </row>
    <row r="111" spans="1:16" ht="76.5">
      <c r="A111" s="188" t="s">
        <v>10</v>
      </c>
      <c r="B111" s="188" t="s">
        <v>111</v>
      </c>
      <c r="C111" s="188" t="s">
        <v>18</v>
      </c>
      <c r="D111" s="188"/>
      <c r="E111" s="38" t="s">
        <v>115</v>
      </c>
      <c r="F111" s="34" t="s">
        <v>3</v>
      </c>
      <c r="G111" s="30" t="s">
        <v>743</v>
      </c>
      <c r="H111" s="189"/>
      <c r="I111" s="36" t="s">
        <v>590</v>
      </c>
    </row>
    <row r="112" spans="1:16" ht="191.25">
      <c r="A112" s="188" t="s">
        <v>10</v>
      </c>
      <c r="B112" s="188" t="s">
        <v>111</v>
      </c>
      <c r="C112" s="188" t="s">
        <v>18</v>
      </c>
      <c r="D112" s="188" t="s">
        <v>13</v>
      </c>
      <c r="E112" s="38" t="s">
        <v>114</v>
      </c>
      <c r="F112" s="34" t="s">
        <v>3</v>
      </c>
      <c r="G112" s="30" t="s">
        <v>743</v>
      </c>
      <c r="H112" s="189" t="s">
        <v>591</v>
      </c>
      <c r="I112" s="226"/>
    </row>
    <row r="113" spans="1:16" s="1" customFormat="1" ht="15">
      <c r="A113" s="188" t="s">
        <v>10</v>
      </c>
      <c r="B113" s="188" t="s">
        <v>111</v>
      </c>
      <c r="C113" s="188" t="s">
        <v>20</v>
      </c>
      <c r="D113" s="32"/>
      <c r="E113" s="32" t="s">
        <v>116</v>
      </c>
      <c r="F113" s="34" t="s">
        <v>3</v>
      </c>
      <c r="G113" s="34" t="s">
        <v>168</v>
      </c>
      <c r="H113" s="32" t="s">
        <v>737</v>
      </c>
      <c r="I113" s="32"/>
      <c r="K113" s="1" t="s">
        <v>738</v>
      </c>
    </row>
    <row r="114" spans="1:16" ht="76.5">
      <c r="A114" s="188" t="s">
        <v>10</v>
      </c>
      <c r="B114" s="188" t="s">
        <v>111</v>
      </c>
      <c r="C114" s="188" t="s">
        <v>22</v>
      </c>
      <c r="D114" s="181"/>
      <c r="E114" s="242" t="s">
        <v>117</v>
      </c>
      <c r="F114" s="187" t="s">
        <v>3</v>
      </c>
      <c r="G114" s="30" t="s">
        <v>743</v>
      </c>
      <c r="H114" s="33" t="s">
        <v>592</v>
      </c>
      <c r="I114" s="243"/>
    </row>
    <row r="115" spans="1:16" ht="76.5">
      <c r="A115" s="188" t="s">
        <v>10</v>
      </c>
      <c r="B115" s="188" t="s">
        <v>111</v>
      </c>
      <c r="C115" s="188" t="s">
        <v>22</v>
      </c>
      <c r="D115" s="188" t="s">
        <v>13</v>
      </c>
      <c r="E115" s="38" t="s">
        <v>118</v>
      </c>
      <c r="F115" s="34" t="s">
        <v>3</v>
      </c>
      <c r="G115" s="30" t="s">
        <v>793</v>
      </c>
      <c r="H115" s="209" t="s">
        <v>820</v>
      </c>
      <c r="I115" s="226"/>
      <c r="K115" s="216" t="s">
        <v>739</v>
      </c>
    </row>
    <row r="116" spans="1:16" ht="76.5">
      <c r="A116" s="188" t="s">
        <v>10</v>
      </c>
      <c r="B116" s="188" t="s">
        <v>111</v>
      </c>
      <c r="C116" s="188" t="s">
        <v>22</v>
      </c>
      <c r="D116" s="188" t="s">
        <v>16</v>
      </c>
      <c r="E116" s="40" t="s">
        <v>119</v>
      </c>
      <c r="F116" s="34" t="s">
        <v>3</v>
      </c>
      <c r="G116" s="30" t="s">
        <v>743</v>
      </c>
      <c r="H116" s="32" t="s">
        <v>592</v>
      </c>
      <c r="I116" s="226"/>
    </row>
    <row r="117" spans="1:16" ht="102">
      <c r="A117" s="188" t="s">
        <v>10</v>
      </c>
      <c r="B117" s="188" t="s">
        <v>111</v>
      </c>
      <c r="C117" s="188" t="s">
        <v>24</v>
      </c>
      <c r="D117" s="188"/>
      <c r="E117" s="40" t="s">
        <v>120</v>
      </c>
      <c r="F117" s="34" t="s">
        <v>3</v>
      </c>
      <c r="G117" s="30" t="s">
        <v>743</v>
      </c>
      <c r="H117" s="189" t="s">
        <v>593</v>
      </c>
      <c r="I117" s="188" t="s">
        <v>594</v>
      </c>
    </row>
    <row r="118" spans="1:16" ht="63.75">
      <c r="A118" s="188" t="s">
        <v>10</v>
      </c>
      <c r="B118" s="188" t="s">
        <v>111</v>
      </c>
      <c r="C118" s="188" t="s">
        <v>24</v>
      </c>
      <c r="D118" s="188" t="s">
        <v>13</v>
      </c>
      <c r="E118" s="40" t="s">
        <v>121</v>
      </c>
      <c r="F118" s="347" t="s">
        <v>3</v>
      </c>
      <c r="G118" s="347" t="s">
        <v>807</v>
      </c>
      <c r="H118" s="189" t="s">
        <v>808</v>
      </c>
      <c r="I118" s="226"/>
    </row>
    <row r="119" spans="1:16" ht="48" customHeight="1">
      <c r="A119" s="188" t="s">
        <v>10</v>
      </c>
      <c r="B119" s="188" t="s">
        <v>111</v>
      </c>
      <c r="C119" s="188" t="s">
        <v>24</v>
      </c>
      <c r="D119" s="188" t="s">
        <v>16</v>
      </c>
      <c r="E119" s="40" t="s">
        <v>122</v>
      </c>
      <c r="F119" s="187" t="s">
        <v>3</v>
      </c>
      <c r="G119" s="346" t="s">
        <v>743</v>
      </c>
      <c r="H119" s="495" t="s">
        <v>794</v>
      </c>
      <c r="I119" s="226"/>
    </row>
    <row r="120" spans="1:16" ht="30.75" customHeight="1">
      <c r="A120" s="188" t="s">
        <v>10</v>
      </c>
      <c r="B120" s="188" t="s">
        <v>111</v>
      </c>
      <c r="C120" s="188" t="s">
        <v>24</v>
      </c>
      <c r="D120" s="188" t="s">
        <v>18</v>
      </c>
      <c r="E120" s="40" t="s">
        <v>757</v>
      </c>
      <c r="F120" s="34" t="s">
        <v>3</v>
      </c>
      <c r="G120" s="30">
        <v>2019</v>
      </c>
      <c r="H120" s="209" t="s">
        <v>795</v>
      </c>
      <c r="I120" s="226"/>
      <c r="L120" s="244" t="s">
        <v>747</v>
      </c>
      <c r="M120" s="238">
        <v>843</v>
      </c>
      <c r="N120" s="238" t="s">
        <v>748</v>
      </c>
      <c r="O120" s="238" t="s">
        <v>749</v>
      </c>
      <c r="P120" s="238" t="s">
        <v>750</v>
      </c>
    </row>
    <row r="121" spans="1:16" ht="127.5">
      <c r="A121" s="188" t="s">
        <v>10</v>
      </c>
      <c r="B121" s="188" t="s">
        <v>111</v>
      </c>
      <c r="C121" s="188" t="s">
        <v>26</v>
      </c>
      <c r="D121" s="188"/>
      <c r="E121" s="40" t="s">
        <v>123</v>
      </c>
      <c r="F121" s="34" t="s">
        <v>3</v>
      </c>
      <c r="G121" s="30" t="s">
        <v>743</v>
      </c>
      <c r="H121" s="189" t="s">
        <v>595</v>
      </c>
      <c r="I121" s="188" t="s">
        <v>596</v>
      </c>
    </row>
    <row r="122" spans="1:16" ht="125.25" customHeight="1">
      <c r="A122" s="188" t="s">
        <v>10</v>
      </c>
      <c r="B122" s="188" t="s">
        <v>111</v>
      </c>
      <c r="C122" s="188" t="s">
        <v>26</v>
      </c>
      <c r="D122" s="188" t="s">
        <v>13</v>
      </c>
      <c r="E122" s="40" t="s">
        <v>124</v>
      </c>
      <c r="F122" s="34" t="s">
        <v>3</v>
      </c>
      <c r="G122" s="30" t="s">
        <v>743</v>
      </c>
      <c r="H122" s="189" t="s">
        <v>597</v>
      </c>
      <c r="I122" s="188" t="s">
        <v>596</v>
      </c>
    </row>
    <row r="123" spans="1:16" ht="229.5">
      <c r="A123" s="188" t="s">
        <v>10</v>
      </c>
      <c r="B123" s="188" t="s">
        <v>111</v>
      </c>
      <c r="C123" s="188" t="s">
        <v>28</v>
      </c>
      <c r="D123" s="188"/>
      <c r="E123" s="40" t="s">
        <v>125</v>
      </c>
      <c r="F123" s="258" t="s">
        <v>584</v>
      </c>
      <c r="G123" s="30" t="s">
        <v>548</v>
      </c>
      <c r="H123" s="189" t="s">
        <v>598</v>
      </c>
      <c r="I123" s="226"/>
    </row>
    <row r="124" spans="1:16" ht="229.5">
      <c r="A124" s="188" t="s">
        <v>10</v>
      </c>
      <c r="B124" s="188" t="s">
        <v>111</v>
      </c>
      <c r="C124" s="188" t="s">
        <v>28</v>
      </c>
      <c r="D124" s="188" t="s">
        <v>13</v>
      </c>
      <c r="E124" s="40" t="s">
        <v>126</v>
      </c>
      <c r="F124" s="34" t="s">
        <v>584</v>
      </c>
      <c r="G124" s="30" t="s">
        <v>548</v>
      </c>
      <c r="H124" s="189" t="s">
        <v>598</v>
      </c>
      <c r="I124" s="226"/>
    </row>
    <row r="125" spans="1:16" ht="89.25">
      <c r="A125" s="188" t="s">
        <v>10</v>
      </c>
      <c r="B125" s="188" t="s">
        <v>111</v>
      </c>
      <c r="C125" s="188" t="s">
        <v>30</v>
      </c>
      <c r="D125" s="188"/>
      <c r="E125" s="40" t="s">
        <v>599</v>
      </c>
      <c r="F125" s="34" t="s">
        <v>3</v>
      </c>
      <c r="G125" s="30" t="s">
        <v>743</v>
      </c>
      <c r="H125" s="189" t="s">
        <v>600</v>
      </c>
      <c r="I125" s="226"/>
    </row>
    <row r="126" spans="1:16" ht="89.25">
      <c r="A126" s="188" t="s">
        <v>10</v>
      </c>
      <c r="B126" s="188" t="s">
        <v>111</v>
      </c>
      <c r="C126" s="188" t="s">
        <v>30</v>
      </c>
      <c r="D126" s="188" t="s">
        <v>13</v>
      </c>
      <c r="E126" s="40" t="s">
        <v>127</v>
      </c>
      <c r="F126" s="34" t="s">
        <v>3</v>
      </c>
      <c r="G126" s="30" t="s">
        <v>743</v>
      </c>
      <c r="H126" s="189" t="s">
        <v>600</v>
      </c>
      <c r="I126" s="188" t="s">
        <v>594</v>
      </c>
    </row>
    <row r="127" spans="1:16" ht="114.75">
      <c r="A127" s="188" t="s">
        <v>10</v>
      </c>
      <c r="B127" s="188" t="s">
        <v>111</v>
      </c>
      <c r="C127" s="188" t="s">
        <v>32</v>
      </c>
      <c r="D127" s="188"/>
      <c r="E127" s="40" t="s">
        <v>128</v>
      </c>
      <c r="F127" s="34" t="s">
        <v>3</v>
      </c>
      <c r="G127" s="30" t="s">
        <v>806</v>
      </c>
      <c r="H127" s="189" t="s">
        <v>601</v>
      </c>
      <c r="I127" s="226"/>
    </row>
    <row r="128" spans="1:16" ht="114.75">
      <c r="A128" s="188" t="s">
        <v>10</v>
      </c>
      <c r="B128" s="188" t="s">
        <v>111</v>
      </c>
      <c r="C128" s="188" t="s">
        <v>32</v>
      </c>
      <c r="D128" s="188" t="s">
        <v>13</v>
      </c>
      <c r="E128" s="40" t="s">
        <v>129</v>
      </c>
      <c r="F128" s="34" t="s">
        <v>3</v>
      </c>
      <c r="G128" s="30" t="s">
        <v>806</v>
      </c>
      <c r="H128" s="189" t="s">
        <v>601</v>
      </c>
      <c r="I128" s="226"/>
    </row>
    <row r="129" spans="1:22" ht="114.75">
      <c r="A129" s="188" t="s">
        <v>10</v>
      </c>
      <c r="B129" s="188" t="s">
        <v>111</v>
      </c>
      <c r="C129" s="188" t="s">
        <v>34</v>
      </c>
      <c r="D129" s="188"/>
      <c r="E129" s="40" t="s">
        <v>130</v>
      </c>
      <c r="F129" s="34" t="s">
        <v>3</v>
      </c>
      <c r="G129" s="30" t="s">
        <v>743</v>
      </c>
      <c r="H129" s="189" t="s">
        <v>602</v>
      </c>
      <c r="I129" s="36" t="s">
        <v>603</v>
      </c>
    </row>
    <row r="130" spans="1:22" ht="114.75">
      <c r="A130" s="188" t="s">
        <v>10</v>
      </c>
      <c r="B130" s="188" t="s">
        <v>111</v>
      </c>
      <c r="C130" s="188" t="s">
        <v>34</v>
      </c>
      <c r="D130" s="188" t="s">
        <v>13</v>
      </c>
      <c r="E130" s="40" t="s">
        <v>131</v>
      </c>
      <c r="F130" s="34" t="s">
        <v>3</v>
      </c>
      <c r="G130" s="30" t="s">
        <v>743</v>
      </c>
      <c r="H130" s="189" t="s">
        <v>602</v>
      </c>
      <c r="I130" s="36" t="s">
        <v>603</v>
      </c>
    </row>
    <row r="131" spans="1:22" s="1" customFormat="1" ht="15">
      <c r="A131" s="186">
        <v>30</v>
      </c>
      <c r="B131" s="186">
        <v>3</v>
      </c>
      <c r="C131" s="186" t="s">
        <v>470</v>
      </c>
      <c r="D131" s="35"/>
      <c r="E131" s="35" t="s">
        <v>471</v>
      </c>
      <c r="F131" s="186" t="s">
        <v>3</v>
      </c>
      <c r="G131" s="186" t="s">
        <v>760</v>
      </c>
      <c r="H131" s="35"/>
      <c r="I131" s="35"/>
      <c r="L131" s="216"/>
      <c r="M131" s="216"/>
      <c r="N131" s="216"/>
      <c r="O131" s="216"/>
      <c r="P131" s="216"/>
    </row>
    <row r="132" spans="1:22" s="1" customFormat="1" ht="76.5">
      <c r="A132" s="186">
        <v>30</v>
      </c>
      <c r="B132" s="186">
        <v>3</v>
      </c>
      <c r="C132" s="34" t="s">
        <v>470</v>
      </c>
      <c r="D132" s="34">
        <v>1</v>
      </c>
      <c r="E132" s="35" t="s">
        <v>851</v>
      </c>
      <c r="F132" s="186" t="s">
        <v>3</v>
      </c>
      <c r="G132" s="186" t="s">
        <v>760</v>
      </c>
      <c r="H132" s="35" t="s">
        <v>762</v>
      </c>
      <c r="I132" s="35"/>
      <c r="L132" s="216"/>
      <c r="M132" s="216"/>
      <c r="N132" s="216"/>
      <c r="O132" s="216"/>
      <c r="P132" s="216"/>
    </row>
    <row r="133" spans="1:22" s="1" customFormat="1" ht="46.5" customHeight="1">
      <c r="A133" s="186"/>
      <c r="B133" s="34"/>
      <c r="C133" s="34"/>
      <c r="D133" s="34"/>
      <c r="E133" s="32" t="s">
        <v>741</v>
      </c>
      <c r="F133" s="34" t="s">
        <v>3</v>
      </c>
      <c r="G133" s="34" t="s">
        <v>171</v>
      </c>
      <c r="H133" s="32" t="s">
        <v>742</v>
      </c>
      <c r="I133" s="32"/>
    </row>
    <row r="134" spans="1:22" s="1" customFormat="1" ht="87" customHeight="1">
      <c r="A134" s="186"/>
      <c r="B134" s="186"/>
      <c r="C134" s="186"/>
      <c r="D134" s="186"/>
      <c r="E134" s="35" t="s">
        <v>754</v>
      </c>
      <c r="F134" s="186" t="s">
        <v>3</v>
      </c>
      <c r="G134" s="186" t="s">
        <v>744</v>
      </c>
      <c r="H134" s="35" t="s">
        <v>740</v>
      </c>
      <c r="I134" s="35"/>
    </row>
    <row r="135" spans="1:22" s="1" customFormat="1" ht="84" customHeight="1">
      <c r="A135" s="186"/>
      <c r="B135" s="186"/>
      <c r="C135" s="186"/>
      <c r="D135" s="186"/>
      <c r="E135" s="35" t="s">
        <v>763</v>
      </c>
      <c r="F135" s="186" t="s">
        <v>3</v>
      </c>
      <c r="G135" s="186" t="s">
        <v>744</v>
      </c>
      <c r="H135" s="35" t="s">
        <v>764</v>
      </c>
      <c r="I135" s="35"/>
    </row>
    <row r="136" spans="1:22" ht="25.5">
      <c r="A136" s="36" t="s">
        <v>10</v>
      </c>
      <c r="B136" s="188" t="s">
        <v>151</v>
      </c>
      <c r="C136" s="188"/>
      <c r="D136" s="188"/>
      <c r="E136" s="189" t="s">
        <v>604</v>
      </c>
      <c r="F136" s="34" t="s">
        <v>3</v>
      </c>
      <c r="G136" s="30" t="s">
        <v>743</v>
      </c>
      <c r="H136" s="245"/>
      <c r="I136" s="226"/>
      <c r="L136" s="31"/>
      <c r="M136" s="31"/>
      <c r="N136" s="31"/>
      <c r="O136" s="31"/>
      <c r="P136" s="31"/>
    </row>
    <row r="137" spans="1:22" ht="51">
      <c r="A137" s="181" t="s">
        <v>10</v>
      </c>
      <c r="B137" s="188" t="s">
        <v>151</v>
      </c>
      <c r="C137" s="181" t="s">
        <v>13</v>
      </c>
      <c r="D137" s="185"/>
      <c r="E137" s="189" t="s">
        <v>152</v>
      </c>
      <c r="F137" s="34" t="s">
        <v>3</v>
      </c>
      <c r="G137" s="185" t="s">
        <v>743</v>
      </c>
      <c r="H137" s="189" t="s">
        <v>605</v>
      </c>
      <c r="I137" s="36" t="s">
        <v>606</v>
      </c>
    </row>
    <row r="138" spans="1:22" ht="51">
      <c r="A138" s="181" t="s">
        <v>10</v>
      </c>
      <c r="B138" s="188" t="s">
        <v>151</v>
      </c>
      <c r="C138" s="181" t="s">
        <v>13</v>
      </c>
      <c r="D138" s="188" t="s">
        <v>13</v>
      </c>
      <c r="E138" s="189" t="s">
        <v>152</v>
      </c>
      <c r="F138" s="34" t="s">
        <v>3</v>
      </c>
      <c r="G138" s="185" t="s">
        <v>743</v>
      </c>
      <c r="H138" s="189" t="s">
        <v>605</v>
      </c>
      <c r="I138" s="36"/>
    </row>
    <row r="139" spans="1:22" s="236" customFormat="1" ht="24">
      <c r="A139" s="234" t="s">
        <v>10</v>
      </c>
      <c r="B139" s="234" t="s">
        <v>151</v>
      </c>
      <c r="C139" s="234" t="s">
        <v>13</v>
      </c>
      <c r="D139" s="234" t="s">
        <v>16</v>
      </c>
      <c r="E139" s="209" t="s">
        <v>734</v>
      </c>
      <c r="F139" s="34" t="s">
        <v>3</v>
      </c>
      <c r="G139" s="185" t="s">
        <v>758</v>
      </c>
      <c r="H139" s="246"/>
      <c r="I139" s="209"/>
      <c r="J139" s="209" t="s">
        <v>722</v>
      </c>
      <c r="K139" s="233">
        <v>843</v>
      </c>
      <c r="L139" s="216"/>
      <c r="M139" s="216"/>
      <c r="N139" s="216"/>
      <c r="O139" s="216"/>
      <c r="P139" s="216"/>
      <c r="Q139" s="232"/>
      <c r="R139" s="232"/>
      <c r="S139" s="232"/>
      <c r="T139" s="232"/>
      <c r="U139" s="232"/>
      <c r="V139" s="232"/>
    </row>
    <row r="140" spans="1:22" ht="76.5">
      <c r="A140" s="181" t="s">
        <v>10</v>
      </c>
      <c r="B140" s="188" t="s">
        <v>151</v>
      </c>
      <c r="C140" s="181" t="s">
        <v>16</v>
      </c>
      <c r="D140" s="188"/>
      <c r="E140" s="189" t="s">
        <v>153</v>
      </c>
      <c r="F140" s="34" t="s">
        <v>3</v>
      </c>
      <c r="G140" s="185" t="s">
        <v>743</v>
      </c>
      <c r="H140" s="189" t="s">
        <v>607</v>
      </c>
      <c r="I140" s="36" t="s">
        <v>608</v>
      </c>
      <c r="L140" s="233">
        <v>10</v>
      </c>
      <c r="M140" s="234" t="s">
        <v>24</v>
      </c>
      <c r="N140" s="234" t="s">
        <v>735</v>
      </c>
      <c r="O140" s="231">
        <v>244</v>
      </c>
      <c r="P140" s="247">
        <v>62</v>
      </c>
    </row>
    <row r="141" spans="1:22" ht="76.5">
      <c r="A141" s="181" t="s">
        <v>10</v>
      </c>
      <c r="B141" s="188" t="s">
        <v>151</v>
      </c>
      <c r="C141" s="181" t="s">
        <v>16</v>
      </c>
      <c r="D141" s="188" t="s">
        <v>13</v>
      </c>
      <c r="E141" s="189" t="s">
        <v>154</v>
      </c>
      <c r="F141" s="34" t="s">
        <v>3</v>
      </c>
      <c r="G141" s="185" t="s">
        <v>743</v>
      </c>
      <c r="H141" s="189" t="s">
        <v>607</v>
      </c>
      <c r="I141" s="36"/>
    </row>
    <row r="142" spans="1:22" ht="102">
      <c r="A142" s="181" t="s">
        <v>10</v>
      </c>
      <c r="B142" s="188" t="s">
        <v>151</v>
      </c>
      <c r="C142" s="181" t="s">
        <v>18</v>
      </c>
      <c r="D142" s="185"/>
      <c r="E142" s="189" t="s">
        <v>454</v>
      </c>
      <c r="F142" s="34" t="s">
        <v>3</v>
      </c>
      <c r="G142" s="185" t="s">
        <v>743</v>
      </c>
      <c r="H142" s="189" t="s">
        <v>609</v>
      </c>
      <c r="I142" s="36" t="s">
        <v>606</v>
      </c>
    </row>
    <row r="143" spans="1:22" ht="102">
      <c r="A143" s="181" t="s">
        <v>10</v>
      </c>
      <c r="B143" s="188" t="s">
        <v>151</v>
      </c>
      <c r="C143" s="181" t="s">
        <v>18</v>
      </c>
      <c r="D143" s="188" t="s">
        <v>13</v>
      </c>
      <c r="E143" s="189" t="s">
        <v>155</v>
      </c>
      <c r="F143" s="34" t="s">
        <v>3</v>
      </c>
      <c r="G143" s="185" t="s">
        <v>743</v>
      </c>
      <c r="H143" s="189" t="s">
        <v>609</v>
      </c>
      <c r="I143" s="36"/>
    </row>
    <row r="144" spans="1:22" ht="25.5">
      <c r="A144" s="181" t="s">
        <v>10</v>
      </c>
      <c r="B144" s="188" t="s">
        <v>151</v>
      </c>
      <c r="C144" s="181" t="s">
        <v>20</v>
      </c>
      <c r="D144" s="188"/>
      <c r="E144" s="189" t="s">
        <v>102</v>
      </c>
      <c r="F144" s="34" t="s">
        <v>3</v>
      </c>
      <c r="G144" s="185" t="s">
        <v>743</v>
      </c>
      <c r="H144" s="189" t="s">
        <v>610</v>
      </c>
      <c r="I144" s="36"/>
    </row>
    <row r="145" spans="1:11">
      <c r="A145" s="181" t="s">
        <v>10</v>
      </c>
      <c r="B145" s="188" t="s">
        <v>151</v>
      </c>
      <c r="C145" s="181" t="s">
        <v>20</v>
      </c>
      <c r="D145" s="188" t="s">
        <v>13</v>
      </c>
      <c r="E145" s="189" t="s">
        <v>156</v>
      </c>
      <c r="F145" s="34" t="s">
        <v>3</v>
      </c>
      <c r="G145" s="185" t="s">
        <v>758</v>
      </c>
      <c r="H145" s="189" t="s">
        <v>611</v>
      </c>
      <c r="I145" s="36"/>
    </row>
    <row r="146" spans="1:11">
      <c r="A146" s="181" t="s">
        <v>10</v>
      </c>
      <c r="B146" s="188" t="s">
        <v>151</v>
      </c>
      <c r="C146" s="181" t="s">
        <v>20</v>
      </c>
      <c r="D146" s="188" t="s">
        <v>16</v>
      </c>
      <c r="E146" s="189" t="s">
        <v>157</v>
      </c>
      <c r="F146" s="34" t="s">
        <v>3</v>
      </c>
      <c r="G146" s="185" t="s">
        <v>743</v>
      </c>
      <c r="H146" s="189" t="s">
        <v>612</v>
      </c>
      <c r="I146" s="36"/>
    </row>
    <row r="147" spans="1:11" ht="51">
      <c r="A147" s="181" t="s">
        <v>10</v>
      </c>
      <c r="B147" s="188" t="s">
        <v>151</v>
      </c>
      <c r="C147" s="181" t="s">
        <v>22</v>
      </c>
      <c r="D147" s="188"/>
      <c r="E147" s="189" t="s">
        <v>158</v>
      </c>
      <c r="F147" s="34" t="s">
        <v>3</v>
      </c>
      <c r="G147" s="185" t="s">
        <v>743</v>
      </c>
      <c r="H147" s="189" t="s">
        <v>613</v>
      </c>
      <c r="I147" s="36"/>
    </row>
    <row r="148" spans="1:11" ht="38.25">
      <c r="A148" s="181" t="s">
        <v>10</v>
      </c>
      <c r="B148" s="188" t="s">
        <v>151</v>
      </c>
      <c r="C148" s="181" t="s">
        <v>22</v>
      </c>
      <c r="D148" s="188" t="s">
        <v>13</v>
      </c>
      <c r="E148" s="189" t="s">
        <v>159</v>
      </c>
      <c r="F148" s="34" t="s">
        <v>3</v>
      </c>
      <c r="G148" s="185" t="s">
        <v>743</v>
      </c>
      <c r="H148" s="189" t="s">
        <v>613</v>
      </c>
      <c r="I148" s="36"/>
    </row>
    <row r="149" spans="1:11" ht="51">
      <c r="A149" s="181" t="s">
        <v>10</v>
      </c>
      <c r="B149" s="188" t="s">
        <v>151</v>
      </c>
      <c r="C149" s="181" t="s">
        <v>22</v>
      </c>
      <c r="D149" s="188" t="s">
        <v>16</v>
      </c>
      <c r="E149" s="189" t="s">
        <v>110</v>
      </c>
      <c r="F149" s="34" t="s">
        <v>3</v>
      </c>
      <c r="G149" s="185" t="s">
        <v>759</v>
      </c>
      <c r="H149" s="189" t="s">
        <v>821</v>
      </c>
      <c r="I149" s="36"/>
      <c r="K149" s="216" t="s">
        <v>723</v>
      </c>
    </row>
    <row r="150" spans="1:11" ht="76.5">
      <c r="A150" s="181" t="s">
        <v>10</v>
      </c>
      <c r="B150" s="188" t="s">
        <v>151</v>
      </c>
      <c r="C150" s="181" t="s">
        <v>24</v>
      </c>
      <c r="D150" s="188"/>
      <c r="E150" s="32" t="s">
        <v>614</v>
      </c>
      <c r="F150" s="34" t="s">
        <v>3</v>
      </c>
      <c r="G150" s="185" t="s">
        <v>743</v>
      </c>
      <c r="H150" s="189"/>
      <c r="I150" s="226"/>
    </row>
    <row r="151" spans="1:11" ht="25.5">
      <c r="A151" s="181" t="s">
        <v>10</v>
      </c>
      <c r="B151" s="188" t="s">
        <v>151</v>
      </c>
      <c r="C151" s="181" t="s">
        <v>26</v>
      </c>
      <c r="D151" s="188"/>
      <c r="E151" s="32" t="s">
        <v>616</v>
      </c>
      <c r="F151" s="34" t="s">
        <v>3</v>
      </c>
      <c r="G151" s="185" t="s">
        <v>743</v>
      </c>
      <c r="H151" s="229" t="s">
        <v>617</v>
      </c>
      <c r="I151" s="226"/>
    </row>
    <row r="152" spans="1:11" ht="38.25">
      <c r="A152" s="181" t="s">
        <v>10</v>
      </c>
      <c r="B152" s="188" t="s">
        <v>151</v>
      </c>
      <c r="C152" s="181" t="s">
        <v>28</v>
      </c>
      <c r="D152" s="188"/>
      <c r="E152" s="32" t="s">
        <v>618</v>
      </c>
      <c r="F152" s="34" t="s">
        <v>3</v>
      </c>
      <c r="G152" s="185" t="s">
        <v>743</v>
      </c>
      <c r="H152" s="229" t="s">
        <v>619</v>
      </c>
      <c r="I152" s="36" t="s">
        <v>620</v>
      </c>
    </row>
    <row r="153" spans="1:11" ht="63.75">
      <c r="A153" s="181" t="s">
        <v>10</v>
      </c>
      <c r="B153" s="188" t="s">
        <v>151</v>
      </c>
      <c r="C153" s="181" t="s">
        <v>30</v>
      </c>
      <c r="D153" s="188"/>
      <c r="E153" s="32" t="s">
        <v>621</v>
      </c>
      <c r="F153" s="34" t="s">
        <v>3</v>
      </c>
      <c r="G153" s="185" t="s">
        <v>743</v>
      </c>
      <c r="H153" s="229" t="s">
        <v>622</v>
      </c>
      <c r="I153" s="36" t="s">
        <v>623</v>
      </c>
    </row>
    <row r="154" spans="1:11" ht="130.5" hidden="1" customHeight="1">
      <c r="A154" s="36"/>
      <c r="B154" s="188"/>
      <c r="C154" s="188"/>
      <c r="D154" s="188"/>
      <c r="E154" s="32" t="s">
        <v>160</v>
      </c>
      <c r="F154" s="34" t="s">
        <v>103</v>
      </c>
      <c r="G154" s="30">
        <v>2015</v>
      </c>
      <c r="H154" s="189" t="s">
        <v>624</v>
      </c>
      <c r="I154" s="36" t="s">
        <v>625</v>
      </c>
    </row>
    <row r="155" spans="1:11" ht="102" hidden="1">
      <c r="A155" s="36"/>
      <c r="B155" s="188"/>
      <c r="C155" s="188"/>
      <c r="D155" s="188"/>
      <c r="E155" s="32" t="s">
        <v>161</v>
      </c>
      <c r="F155" s="34" t="s">
        <v>103</v>
      </c>
      <c r="G155" s="30">
        <v>2015</v>
      </c>
      <c r="H155" s="189" t="s">
        <v>609</v>
      </c>
      <c r="I155" s="36" t="s">
        <v>625</v>
      </c>
    </row>
    <row r="156" spans="1:11" ht="76.5" hidden="1">
      <c r="A156" s="36"/>
      <c r="B156" s="188"/>
      <c r="C156" s="188"/>
      <c r="D156" s="188"/>
      <c r="E156" s="32" t="s">
        <v>626</v>
      </c>
      <c r="F156" s="34" t="s">
        <v>103</v>
      </c>
      <c r="G156" s="30">
        <v>2015</v>
      </c>
      <c r="H156" s="189" t="s">
        <v>607</v>
      </c>
      <c r="I156" s="36" t="s">
        <v>625</v>
      </c>
    </row>
    <row r="157" spans="1:11" ht="51" hidden="1">
      <c r="A157" s="36"/>
      <c r="B157" s="188"/>
      <c r="C157" s="188"/>
      <c r="D157" s="188"/>
      <c r="E157" s="32" t="s">
        <v>102</v>
      </c>
      <c r="F157" s="34" t="s">
        <v>103</v>
      </c>
      <c r="G157" s="30">
        <v>2015</v>
      </c>
      <c r="H157" s="229" t="s">
        <v>627</v>
      </c>
      <c r="I157" s="226"/>
      <c r="J157" s="248"/>
    </row>
    <row r="158" spans="1:11" ht="76.5" hidden="1">
      <c r="A158" s="36"/>
      <c r="B158" s="188"/>
      <c r="C158" s="188"/>
      <c r="D158" s="188"/>
      <c r="E158" s="32" t="s">
        <v>614</v>
      </c>
      <c r="F158" s="34" t="s">
        <v>103</v>
      </c>
      <c r="G158" s="30">
        <v>2015</v>
      </c>
      <c r="H158" s="189" t="s">
        <v>615</v>
      </c>
      <c r="I158" s="226"/>
      <c r="J158" s="248"/>
    </row>
    <row r="159" spans="1:11" ht="51" hidden="1">
      <c r="A159" s="36"/>
      <c r="B159" s="188"/>
      <c r="C159" s="188"/>
      <c r="D159" s="188"/>
      <c r="E159" s="32" t="s">
        <v>616</v>
      </c>
      <c r="F159" s="34" t="s">
        <v>103</v>
      </c>
      <c r="G159" s="30">
        <v>2015</v>
      </c>
      <c r="H159" s="229" t="s">
        <v>617</v>
      </c>
      <c r="I159" s="226"/>
      <c r="J159" s="248"/>
    </row>
    <row r="160" spans="1:11" ht="51" hidden="1">
      <c r="A160" s="36"/>
      <c r="B160" s="188"/>
      <c r="C160" s="188"/>
      <c r="D160" s="188"/>
      <c r="E160" s="32" t="s">
        <v>628</v>
      </c>
      <c r="F160" s="34" t="s">
        <v>103</v>
      </c>
      <c r="G160" s="30">
        <v>2015</v>
      </c>
      <c r="H160" s="229" t="s">
        <v>629</v>
      </c>
      <c r="I160" s="36" t="s">
        <v>630</v>
      </c>
      <c r="J160" s="248"/>
    </row>
    <row r="161" spans="1:10" ht="51" hidden="1">
      <c r="A161" s="36"/>
      <c r="B161" s="188"/>
      <c r="C161" s="188"/>
      <c r="D161" s="188"/>
      <c r="E161" s="32" t="s">
        <v>618</v>
      </c>
      <c r="F161" s="34" t="s">
        <v>103</v>
      </c>
      <c r="G161" s="30">
        <v>2015</v>
      </c>
      <c r="H161" s="229" t="s">
        <v>619</v>
      </c>
      <c r="I161" s="36" t="s">
        <v>620</v>
      </c>
      <c r="J161" s="248"/>
    </row>
    <row r="162" spans="1:10" ht="74.25" hidden="1" customHeight="1">
      <c r="A162" s="36"/>
      <c r="B162" s="188"/>
      <c r="C162" s="188"/>
      <c r="D162" s="188"/>
      <c r="E162" s="32" t="s">
        <v>621</v>
      </c>
      <c r="F162" s="34" t="s">
        <v>103</v>
      </c>
      <c r="G162" s="30">
        <v>2015</v>
      </c>
      <c r="H162" s="229" t="s">
        <v>622</v>
      </c>
      <c r="I162" s="36" t="s">
        <v>623</v>
      </c>
      <c r="J162" s="248"/>
    </row>
    <row r="163" spans="1:10">
      <c r="A163" s="249"/>
      <c r="B163" s="190"/>
      <c r="C163" s="190"/>
      <c r="D163" s="190"/>
      <c r="E163" s="250"/>
      <c r="F163" s="251"/>
      <c r="G163" s="252"/>
      <c r="H163" s="253"/>
      <c r="I163" s="254"/>
      <c r="J163" s="248"/>
    </row>
    <row r="164" spans="1:10">
      <c r="A164" s="255" t="s">
        <v>631</v>
      </c>
    </row>
    <row r="165" spans="1:10">
      <c r="A165" s="387" t="s">
        <v>458</v>
      </c>
      <c r="B165" s="387"/>
      <c r="C165" s="387"/>
      <c r="D165" s="387"/>
      <c r="E165" s="387"/>
      <c r="F165" s="387"/>
      <c r="G165" s="387"/>
      <c r="H165" s="387"/>
      <c r="I165" s="256"/>
      <c r="J165" s="41"/>
    </row>
  </sheetData>
  <autoFilter ref="A14:J14"/>
  <mergeCells count="25">
    <mergeCell ref="A165:H165"/>
    <mergeCell ref="I13:I14"/>
    <mergeCell ref="A88:A90"/>
    <mergeCell ref="B88:B90"/>
    <mergeCell ref="C88:C90"/>
    <mergeCell ref="D88:D90"/>
    <mergeCell ref="E88:E90"/>
    <mergeCell ref="G88:G90"/>
    <mergeCell ref="H88:H90"/>
    <mergeCell ref="I88:I90"/>
    <mergeCell ref="A9:B9"/>
    <mergeCell ref="E9:H9"/>
    <mergeCell ref="E10:H10"/>
    <mergeCell ref="E11:H11"/>
    <mergeCell ref="A13:D13"/>
    <mergeCell ref="E13:E14"/>
    <mergeCell ref="F13:F14"/>
    <mergeCell ref="G13:G14"/>
    <mergeCell ref="H13:H14"/>
    <mergeCell ref="A8:I8"/>
    <mergeCell ref="H1:I1"/>
    <mergeCell ref="H2:I2"/>
    <mergeCell ref="H4:I4"/>
    <mergeCell ref="H5:I5"/>
    <mergeCell ref="E6:H6"/>
  </mergeCells>
  <printOptions horizontalCentered="1"/>
  <pageMargins left="0.23622047244094491" right="0.15748031496062992" top="0.39370078740157483" bottom="0.19685039370078741" header="0.19685039370078741" footer="0.19685039370078741"/>
  <pageSetup paperSize="9" scale="74" fitToHeight="12" orientation="landscape" horizontalDpi="180" verticalDpi="180"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sheetPr>
    <tabColor theme="9" tint="0.39997558519241921"/>
    <pageSetUpPr fitToPage="1"/>
  </sheetPr>
  <dimension ref="A1:Y47"/>
  <sheetViews>
    <sheetView topLeftCell="A42" zoomScale="80" zoomScaleNormal="80" workbookViewId="0">
      <selection activeCell="I57" sqref="I57"/>
    </sheetView>
  </sheetViews>
  <sheetFormatPr defaultColWidth="9.140625" defaultRowHeight="15"/>
  <cols>
    <col min="1" max="1" width="6.85546875" style="107" customWidth="1"/>
    <col min="2" max="2" width="7.140625" style="107" customWidth="1"/>
    <col min="3" max="4" width="6.140625" style="107" customWidth="1"/>
    <col min="5" max="5" width="39.28515625" style="24" customWidth="1"/>
    <col min="6" max="6" width="18" style="24" customWidth="1"/>
    <col min="7" max="8" width="14.28515625" style="107" customWidth="1"/>
    <col min="9" max="10" width="14.28515625" style="108" customWidth="1"/>
    <col min="11" max="11" width="11.5703125" style="108" customWidth="1"/>
    <col min="12" max="16" width="12.42578125" style="108" customWidth="1"/>
    <col min="17" max="17" width="29.85546875" style="24" customWidth="1"/>
    <col min="18" max="16384" width="9.140625" style="24"/>
  </cols>
  <sheetData>
    <row r="1" spans="1:25" ht="15.75" hidden="1">
      <c r="K1" s="403" t="s">
        <v>632</v>
      </c>
      <c r="L1" s="403"/>
      <c r="M1" s="403"/>
      <c r="N1" s="403"/>
      <c r="O1" s="403"/>
      <c r="P1" s="403"/>
      <c r="Q1" s="403"/>
    </row>
    <row r="2" spans="1:25" ht="53.25" hidden="1" customHeight="1">
      <c r="K2" s="404" t="s">
        <v>479</v>
      </c>
      <c r="L2" s="404"/>
      <c r="M2" s="404"/>
      <c r="N2" s="404"/>
      <c r="O2" s="404"/>
      <c r="P2" s="404"/>
      <c r="Q2" s="404"/>
    </row>
    <row r="3" spans="1:25" hidden="1"/>
    <row r="4" spans="1:25" hidden="1"/>
    <row r="5" spans="1:25" hidden="1"/>
    <row r="6" spans="1:25" ht="24" customHeight="1">
      <c r="A6" s="259"/>
      <c r="B6" s="259"/>
      <c r="C6" s="259"/>
      <c r="D6" s="259"/>
      <c r="K6" s="403" t="s">
        <v>632</v>
      </c>
      <c r="L6" s="403"/>
      <c r="M6" s="403"/>
      <c r="N6" s="403"/>
      <c r="O6" s="403"/>
      <c r="P6" s="403"/>
      <c r="Q6" s="403"/>
      <c r="R6" s="204"/>
      <c r="S6" s="204"/>
    </row>
    <row r="7" spans="1:25" ht="36" customHeight="1">
      <c r="A7" s="259"/>
      <c r="B7" s="259"/>
      <c r="C7" s="259"/>
      <c r="D7" s="259"/>
      <c r="K7" s="404" t="s">
        <v>480</v>
      </c>
      <c r="L7" s="404"/>
      <c r="M7" s="404"/>
      <c r="N7" s="404"/>
      <c r="O7" s="404"/>
      <c r="P7" s="404"/>
      <c r="Q7" s="404"/>
      <c r="R7" s="260"/>
      <c r="S7" s="260"/>
    </row>
    <row r="8" spans="1:25">
      <c r="A8" s="259"/>
      <c r="B8" s="259"/>
      <c r="C8" s="259"/>
      <c r="D8" s="259"/>
      <c r="F8" s="109"/>
      <c r="G8" s="109"/>
      <c r="H8" s="109"/>
      <c r="I8" s="110"/>
      <c r="J8" s="110"/>
      <c r="K8" s="110"/>
      <c r="L8" s="110"/>
      <c r="M8" s="110"/>
      <c r="N8" s="110"/>
      <c r="O8" s="110"/>
      <c r="P8" s="110"/>
      <c r="Q8" s="109"/>
      <c r="S8" s="260"/>
    </row>
    <row r="9" spans="1:25" ht="3" customHeight="1">
      <c r="A9" s="259"/>
      <c r="B9" s="259"/>
      <c r="C9" s="259"/>
      <c r="D9" s="259"/>
      <c r="F9" s="109"/>
      <c r="G9" s="109"/>
      <c r="H9" s="109"/>
      <c r="I9" s="110"/>
      <c r="J9" s="110"/>
      <c r="K9" s="110"/>
      <c r="L9" s="110"/>
      <c r="M9" s="110"/>
      <c r="N9" s="110"/>
      <c r="O9" s="110"/>
      <c r="P9" s="110"/>
      <c r="Q9" s="109"/>
      <c r="S9" s="260"/>
    </row>
    <row r="10" spans="1:25" ht="15" customHeight="1">
      <c r="A10" s="405" t="s">
        <v>633</v>
      </c>
      <c r="B10" s="405"/>
      <c r="C10" s="405"/>
      <c r="D10" s="405"/>
      <c r="E10" s="405"/>
      <c r="F10" s="405"/>
      <c r="G10" s="405"/>
      <c r="H10" s="405"/>
      <c r="I10" s="405"/>
      <c r="J10" s="405"/>
      <c r="K10" s="405"/>
      <c r="L10" s="405"/>
      <c r="M10" s="405"/>
      <c r="N10" s="405"/>
      <c r="O10" s="405"/>
      <c r="P10" s="405"/>
      <c r="Q10" s="405"/>
      <c r="R10" s="261"/>
      <c r="S10" s="261"/>
    </row>
    <row r="11" spans="1:25">
      <c r="A11" s="259"/>
      <c r="B11" s="259"/>
      <c r="C11" s="259"/>
      <c r="D11" s="259"/>
      <c r="F11" s="109"/>
      <c r="G11" s="109"/>
      <c r="H11" s="109"/>
      <c r="I11" s="110"/>
      <c r="J11" s="110"/>
      <c r="K11" s="110"/>
      <c r="L11" s="110"/>
      <c r="M11" s="110"/>
      <c r="N11" s="110"/>
      <c r="O11" s="110"/>
      <c r="P11" s="110"/>
      <c r="Q11" s="109"/>
      <c r="R11" s="109"/>
      <c r="S11" s="109"/>
    </row>
    <row r="12" spans="1:25">
      <c r="A12" s="401" t="s">
        <v>163</v>
      </c>
      <c r="B12" s="401"/>
      <c r="C12" s="401"/>
      <c r="D12" s="401"/>
      <c r="E12" s="401"/>
      <c r="F12" s="402" t="s">
        <v>164</v>
      </c>
      <c r="G12" s="402"/>
      <c r="H12" s="402"/>
      <c r="I12" s="402"/>
      <c r="J12" s="402"/>
      <c r="K12" s="402"/>
      <c r="L12" s="402"/>
      <c r="M12" s="402"/>
      <c r="N12" s="402"/>
      <c r="O12" s="402"/>
      <c r="P12" s="402"/>
      <c r="Q12" s="402"/>
    </row>
    <row r="13" spans="1:25">
      <c r="A13" s="259"/>
      <c r="B13" s="259"/>
      <c r="C13" s="259"/>
      <c r="D13" s="259"/>
      <c r="F13" s="406" t="s">
        <v>1</v>
      </c>
      <c r="G13" s="406"/>
      <c r="H13" s="406"/>
      <c r="I13" s="406"/>
      <c r="J13" s="406"/>
      <c r="K13" s="406"/>
      <c r="L13" s="406"/>
      <c r="M13" s="406"/>
      <c r="N13" s="406"/>
      <c r="O13" s="406"/>
      <c r="P13" s="406"/>
      <c r="Q13" s="406"/>
      <c r="R13" s="262"/>
      <c r="S13" s="262"/>
    </row>
    <row r="14" spans="1:25">
      <c r="A14" s="263" t="s">
        <v>2</v>
      </c>
      <c r="B14" s="263"/>
      <c r="C14" s="263"/>
      <c r="D14" s="263"/>
      <c r="E14" s="263"/>
      <c r="F14" s="402" t="s">
        <v>3</v>
      </c>
      <c r="G14" s="402"/>
      <c r="H14" s="402"/>
      <c r="I14" s="402"/>
      <c r="J14" s="402"/>
      <c r="K14" s="402"/>
      <c r="L14" s="402"/>
      <c r="M14" s="402"/>
      <c r="N14" s="402"/>
      <c r="O14" s="402"/>
      <c r="P14" s="402"/>
      <c r="Q14" s="402"/>
      <c r="R14" s="12"/>
      <c r="S14" s="12"/>
      <c r="T14" s="12"/>
      <c r="U14" s="12"/>
      <c r="V14" s="12"/>
      <c r="W14" s="12"/>
      <c r="X14" s="12"/>
      <c r="Y14" s="12"/>
    </row>
    <row r="15" spans="1:25">
      <c r="A15" s="264"/>
      <c r="B15" s="264"/>
      <c r="C15" s="264"/>
      <c r="D15" s="264"/>
      <c r="E15" s="264"/>
      <c r="F15" s="407" t="s">
        <v>4</v>
      </c>
      <c r="G15" s="407"/>
      <c r="H15" s="407"/>
      <c r="I15" s="407"/>
      <c r="J15" s="407"/>
      <c r="K15" s="407"/>
      <c r="L15" s="407"/>
      <c r="M15" s="407"/>
      <c r="N15" s="407"/>
      <c r="O15" s="407"/>
      <c r="P15" s="407"/>
      <c r="Q15" s="407"/>
      <c r="R15" s="12"/>
      <c r="S15" s="12"/>
      <c r="T15" s="12"/>
      <c r="U15" s="12"/>
      <c r="V15" s="12"/>
      <c r="W15" s="12"/>
      <c r="X15" s="12"/>
      <c r="Y15" s="12"/>
    </row>
    <row r="16" spans="1:25">
      <c r="A16" s="259"/>
      <c r="B16" s="259"/>
      <c r="C16" s="259"/>
      <c r="D16" s="259"/>
      <c r="F16" s="265"/>
      <c r="G16" s="111"/>
      <c r="H16" s="111"/>
      <c r="I16" s="112"/>
      <c r="J16" s="112"/>
      <c r="K16" s="112"/>
      <c r="L16" s="112"/>
      <c r="M16" s="112"/>
      <c r="N16" s="112"/>
      <c r="O16" s="112"/>
      <c r="P16" s="112"/>
      <c r="Q16" s="262"/>
      <c r="R16" s="262"/>
      <c r="S16" s="262"/>
    </row>
    <row r="17" spans="1:19" ht="15" customHeight="1">
      <c r="A17" s="408" t="s">
        <v>5</v>
      </c>
      <c r="B17" s="408"/>
      <c r="C17" s="408" t="s">
        <v>482</v>
      </c>
      <c r="D17" s="202"/>
      <c r="E17" s="409" t="s">
        <v>634</v>
      </c>
      <c r="F17" s="409" t="s">
        <v>166</v>
      </c>
      <c r="G17" s="410"/>
      <c r="H17" s="410"/>
      <c r="I17" s="410"/>
      <c r="J17" s="410"/>
      <c r="K17" s="410"/>
      <c r="L17" s="410"/>
      <c r="M17" s="410"/>
      <c r="N17" s="410"/>
      <c r="O17" s="410"/>
      <c r="P17" s="411"/>
      <c r="Q17" s="409" t="s">
        <v>635</v>
      </c>
      <c r="R17" s="122"/>
      <c r="S17" s="122"/>
    </row>
    <row r="18" spans="1:19" ht="58.5" customHeight="1">
      <c r="A18" s="408"/>
      <c r="B18" s="408"/>
      <c r="C18" s="408"/>
      <c r="D18" s="202"/>
      <c r="E18" s="409"/>
      <c r="F18" s="409"/>
      <c r="G18" s="408" t="s">
        <v>167</v>
      </c>
      <c r="H18" s="408" t="s">
        <v>168</v>
      </c>
      <c r="I18" s="415" t="s">
        <v>169</v>
      </c>
      <c r="J18" s="415" t="s">
        <v>170</v>
      </c>
      <c r="K18" s="415" t="s">
        <v>171</v>
      </c>
      <c r="L18" s="415" t="s">
        <v>172</v>
      </c>
      <c r="M18" s="412" t="s">
        <v>173</v>
      </c>
      <c r="N18" s="200" t="s">
        <v>716</v>
      </c>
      <c r="O18" s="200" t="s">
        <v>717</v>
      </c>
      <c r="P18" s="200" t="s">
        <v>718</v>
      </c>
      <c r="Q18" s="409"/>
    </row>
    <row r="19" spans="1:19">
      <c r="A19" s="202" t="s">
        <v>6</v>
      </c>
      <c r="B19" s="202" t="s">
        <v>7</v>
      </c>
      <c r="C19" s="408"/>
      <c r="D19" s="202"/>
      <c r="E19" s="409"/>
      <c r="F19" s="409"/>
      <c r="G19" s="408"/>
      <c r="H19" s="408"/>
      <c r="I19" s="415"/>
      <c r="J19" s="415"/>
      <c r="K19" s="415"/>
      <c r="L19" s="415"/>
      <c r="M19" s="413"/>
      <c r="N19" s="201"/>
      <c r="O19" s="201"/>
      <c r="P19" s="201"/>
      <c r="Q19" s="409"/>
    </row>
    <row r="20" spans="1:19">
      <c r="A20" s="266" t="s">
        <v>10</v>
      </c>
      <c r="B20" s="267" t="s">
        <v>11</v>
      </c>
      <c r="C20" s="202"/>
      <c r="D20" s="202"/>
      <c r="E20" s="409" t="s">
        <v>636</v>
      </c>
      <c r="F20" s="409"/>
      <c r="G20" s="409"/>
      <c r="H20" s="409"/>
      <c r="I20" s="409"/>
      <c r="J20" s="409"/>
      <c r="K20" s="409"/>
      <c r="L20" s="409"/>
      <c r="M20" s="409"/>
      <c r="N20" s="409"/>
      <c r="O20" s="409"/>
      <c r="P20" s="409"/>
      <c r="Q20" s="409"/>
    </row>
    <row r="21" spans="1:19" ht="60">
      <c r="A21" s="266" t="s">
        <v>10</v>
      </c>
      <c r="B21" s="267" t="s">
        <v>11</v>
      </c>
      <c r="C21" s="267" t="s">
        <v>11</v>
      </c>
      <c r="D21" s="267"/>
      <c r="E21" s="268" t="s">
        <v>15</v>
      </c>
      <c r="F21" s="119" t="s">
        <v>637</v>
      </c>
      <c r="G21" s="113">
        <f>'[1]ресурсн обеспечен'!L23</f>
        <v>574983.19999999995</v>
      </c>
      <c r="H21" s="113">
        <v>620406.69999999995</v>
      </c>
      <c r="I21" s="114">
        <v>652511.16500000004</v>
      </c>
      <c r="J21" s="269">
        <v>665332.39042999991</v>
      </c>
      <c r="K21" s="114">
        <v>673430.9</v>
      </c>
      <c r="L21" s="114">
        <v>673430.9</v>
      </c>
      <c r="M21" s="114">
        <v>673430.9</v>
      </c>
      <c r="N21" s="114">
        <f>M21*1.04</f>
        <v>700368.13600000006</v>
      </c>
      <c r="O21" s="114">
        <f>N21*1.04</f>
        <v>728382.86144000012</v>
      </c>
      <c r="P21" s="114">
        <f>O21*1.04</f>
        <v>757518.17589760013</v>
      </c>
      <c r="Q21" s="119" t="s">
        <v>638</v>
      </c>
    </row>
    <row r="22" spans="1:19" ht="60">
      <c r="A22" s="266" t="s">
        <v>10</v>
      </c>
      <c r="B22" s="267" t="s">
        <v>11</v>
      </c>
      <c r="C22" s="267" t="s">
        <v>76</v>
      </c>
      <c r="D22" s="267"/>
      <c r="E22" s="268" t="s">
        <v>17</v>
      </c>
      <c r="F22" s="119" t="s">
        <v>637</v>
      </c>
      <c r="G22" s="113">
        <f>'[1]ресурсн обеспечен'!L24</f>
        <v>92023.9</v>
      </c>
      <c r="H22" s="113">
        <v>81987.899999999994</v>
      </c>
      <c r="I22" s="114">
        <v>70626.816000000006</v>
      </c>
      <c r="J22" s="114">
        <v>60570.408349999998</v>
      </c>
      <c r="K22" s="114">
        <v>58101.8</v>
      </c>
      <c r="L22" s="114">
        <v>58101.8</v>
      </c>
      <c r="M22" s="114">
        <v>58101.8</v>
      </c>
      <c r="N22" s="114">
        <f t="shared" ref="N22:P22" si="0">M22*1.04</f>
        <v>60425.872000000003</v>
      </c>
      <c r="O22" s="114">
        <f t="shared" si="0"/>
        <v>62842.906880000002</v>
      </c>
      <c r="P22" s="114">
        <f t="shared" si="0"/>
        <v>65356.623155200003</v>
      </c>
      <c r="Q22" s="119" t="s">
        <v>638</v>
      </c>
    </row>
    <row r="23" spans="1:19" ht="84.75" customHeight="1">
      <c r="A23" s="266" t="s">
        <v>10</v>
      </c>
      <c r="B23" s="267" t="s">
        <v>11</v>
      </c>
      <c r="C23" s="267" t="s">
        <v>111</v>
      </c>
      <c r="D23" s="267"/>
      <c r="E23" s="268" t="s">
        <v>23</v>
      </c>
      <c r="F23" s="119" t="s">
        <v>637</v>
      </c>
      <c r="G23" s="115">
        <f>'[1]ресурсн обеспечен'!L27</f>
        <v>13559.9</v>
      </c>
      <c r="H23" s="115">
        <v>9016</v>
      </c>
      <c r="I23" s="116">
        <v>12938.486999999999</v>
      </c>
      <c r="J23" s="116">
        <v>8194.6766200000002</v>
      </c>
      <c r="K23" s="114">
        <v>8032</v>
      </c>
      <c r="L23" s="114">
        <v>8032</v>
      </c>
      <c r="M23" s="114">
        <v>8032</v>
      </c>
      <c r="N23" s="114">
        <f t="shared" ref="N23:P23" si="1">M23*1.04</f>
        <v>8353.2800000000007</v>
      </c>
      <c r="O23" s="114">
        <f t="shared" si="1"/>
        <v>8687.4112000000005</v>
      </c>
      <c r="P23" s="114">
        <f t="shared" si="1"/>
        <v>9034.9076480000003</v>
      </c>
      <c r="Q23" s="119" t="s">
        <v>638</v>
      </c>
    </row>
    <row r="24" spans="1:19" ht="60">
      <c r="A24" s="266" t="s">
        <v>10</v>
      </c>
      <c r="B24" s="267" t="s">
        <v>11</v>
      </c>
      <c r="C24" s="267" t="s">
        <v>151</v>
      </c>
      <c r="D24" s="267"/>
      <c r="E24" s="268" t="s">
        <v>21</v>
      </c>
      <c r="F24" s="119" t="s">
        <v>637</v>
      </c>
      <c r="G24" s="115">
        <f>'[1]ресурсн обеспечен'!L26</f>
        <v>1270080</v>
      </c>
      <c r="H24" s="115">
        <v>1385484.3</v>
      </c>
      <c r="I24" s="116">
        <v>1416167.986</v>
      </c>
      <c r="J24" s="116">
        <v>1477840.8735</v>
      </c>
      <c r="K24" s="114">
        <v>1492324.3</v>
      </c>
      <c r="L24" s="114">
        <v>1492324.3</v>
      </c>
      <c r="M24" s="114">
        <v>1492324.3</v>
      </c>
      <c r="N24" s="114">
        <f t="shared" ref="N24:P24" si="2">M24*1.04</f>
        <v>1552017.2720000001</v>
      </c>
      <c r="O24" s="114">
        <f t="shared" si="2"/>
        <v>1614097.9628800002</v>
      </c>
      <c r="P24" s="114">
        <f t="shared" si="2"/>
        <v>1678661.8813952003</v>
      </c>
      <c r="Q24" s="119" t="s">
        <v>638</v>
      </c>
    </row>
    <row r="25" spans="1:19" ht="60">
      <c r="A25" s="266" t="s">
        <v>10</v>
      </c>
      <c r="B25" s="267" t="s">
        <v>11</v>
      </c>
      <c r="C25" s="267" t="s">
        <v>639</v>
      </c>
      <c r="D25" s="267"/>
      <c r="E25" s="268" t="s">
        <v>19</v>
      </c>
      <c r="F25" s="119" t="s">
        <v>637</v>
      </c>
      <c r="G25" s="115">
        <f>'[1]ресурсн обеспечен'!L25</f>
        <v>9163.9</v>
      </c>
      <c r="H25" s="115">
        <v>13642.3</v>
      </c>
      <c r="I25" s="116">
        <v>8455</v>
      </c>
      <c r="J25" s="269">
        <v>12466.794739999999</v>
      </c>
      <c r="K25" s="114">
        <v>12100.1</v>
      </c>
      <c r="L25" s="114">
        <v>12100.1</v>
      </c>
      <c r="M25" s="114">
        <v>12100.1</v>
      </c>
      <c r="N25" s="114">
        <f t="shared" ref="N25:P25" si="3">M25*1.04</f>
        <v>12584.104000000001</v>
      </c>
      <c r="O25" s="114">
        <f t="shared" si="3"/>
        <v>13087.468160000002</v>
      </c>
      <c r="P25" s="114">
        <f t="shared" si="3"/>
        <v>13610.966886400003</v>
      </c>
      <c r="Q25" s="119" t="s">
        <v>638</v>
      </c>
    </row>
    <row r="26" spans="1:19" ht="30">
      <c r="A26" s="266" t="s">
        <v>10</v>
      </c>
      <c r="B26" s="267" t="s">
        <v>11</v>
      </c>
      <c r="C26" s="267" t="s">
        <v>640</v>
      </c>
      <c r="D26" s="267"/>
      <c r="E26" s="268" t="s">
        <v>25</v>
      </c>
      <c r="F26" s="119" t="s">
        <v>731</v>
      </c>
      <c r="G26" s="117">
        <f>'[1]ресурсн обеспечен'!L28</f>
        <v>1281151.5</v>
      </c>
      <c r="H26" s="117">
        <v>1286361.453</v>
      </c>
      <c r="I26" s="118"/>
      <c r="J26" s="116">
        <v>1342579.2466500001</v>
      </c>
      <c r="K26" s="114">
        <v>1162749.8</v>
      </c>
      <c r="L26" s="114">
        <v>1162747.5</v>
      </c>
      <c r="M26" s="114">
        <v>1162747.5</v>
      </c>
      <c r="N26" s="114">
        <f t="shared" ref="N26:P26" si="4">M26*1.04</f>
        <v>1209257.4000000001</v>
      </c>
      <c r="O26" s="114">
        <f t="shared" si="4"/>
        <v>1257627.6960000002</v>
      </c>
      <c r="P26" s="114">
        <f t="shared" si="4"/>
        <v>1307932.8038400002</v>
      </c>
      <c r="Q26" s="119" t="s">
        <v>638</v>
      </c>
    </row>
    <row r="27" spans="1:19" ht="38.25">
      <c r="A27" s="266" t="s">
        <v>10</v>
      </c>
      <c r="B27" s="267" t="s">
        <v>11</v>
      </c>
      <c r="C27" s="267" t="s">
        <v>641</v>
      </c>
      <c r="D27" s="267"/>
      <c r="E27" s="268" t="s">
        <v>27</v>
      </c>
      <c r="F27" s="119" t="s">
        <v>731</v>
      </c>
      <c r="G27" s="117">
        <f>'[1]ресурсн обеспечен'!L29</f>
        <v>54458.1</v>
      </c>
      <c r="H27" s="117">
        <v>54035.199999999997</v>
      </c>
      <c r="I27" s="118">
        <v>57838.055</v>
      </c>
      <c r="J27" s="118">
        <v>60422.355659999994</v>
      </c>
      <c r="K27" s="114">
        <v>63534.1</v>
      </c>
      <c r="L27" s="114">
        <v>65948.100000000006</v>
      </c>
      <c r="M27" s="114">
        <v>68586.899999999994</v>
      </c>
      <c r="N27" s="114">
        <f t="shared" ref="N27:P27" si="5">M27*1.04</f>
        <v>71330.375999999989</v>
      </c>
      <c r="O27" s="114">
        <f t="shared" si="5"/>
        <v>74183.591039999985</v>
      </c>
      <c r="P27" s="114">
        <f t="shared" si="5"/>
        <v>77150.934681599989</v>
      </c>
      <c r="Q27" s="119" t="s">
        <v>638</v>
      </c>
    </row>
    <row r="28" spans="1:19" ht="71.25" customHeight="1">
      <c r="A28" s="266" t="s">
        <v>10</v>
      </c>
      <c r="B28" s="267" t="s">
        <v>11</v>
      </c>
      <c r="C28" s="267" t="s">
        <v>642</v>
      </c>
      <c r="D28" s="267"/>
      <c r="E28" s="268" t="s">
        <v>31</v>
      </c>
      <c r="F28" s="119" t="s">
        <v>637</v>
      </c>
      <c r="G28" s="115">
        <f>'[1]ресурсн обеспечен'!L31</f>
        <v>7758</v>
      </c>
      <c r="H28" s="115">
        <v>5851.3</v>
      </c>
      <c r="I28" s="116">
        <v>6320.1840000000002</v>
      </c>
      <c r="J28" s="116">
        <v>6268.4639999999999</v>
      </c>
      <c r="K28" s="114">
        <v>3448</v>
      </c>
      <c r="L28" s="114">
        <v>3448</v>
      </c>
      <c r="M28" s="114">
        <v>3448</v>
      </c>
      <c r="N28" s="114">
        <f t="shared" ref="N28:P28" si="6">M28*1.04</f>
        <v>3585.92</v>
      </c>
      <c r="O28" s="114">
        <f t="shared" si="6"/>
        <v>3729.3568</v>
      </c>
      <c r="P28" s="114">
        <f t="shared" si="6"/>
        <v>3878.5310720000002</v>
      </c>
      <c r="Q28" s="119" t="s">
        <v>638</v>
      </c>
    </row>
    <row r="29" spans="1:19" ht="73.5" customHeight="1">
      <c r="A29" s="266" t="s">
        <v>10</v>
      </c>
      <c r="B29" s="270" t="s">
        <v>11</v>
      </c>
      <c r="C29" s="267" t="s">
        <v>643</v>
      </c>
      <c r="D29" s="271"/>
      <c r="E29" s="272" t="s">
        <v>33</v>
      </c>
      <c r="F29" s="119" t="s">
        <v>637</v>
      </c>
      <c r="G29" s="115">
        <f>'[1]ресурсн обеспечен'!L62</f>
        <v>19472.900000000001</v>
      </c>
      <c r="H29" s="115">
        <v>16537.400000000001</v>
      </c>
      <c r="I29" s="116">
        <v>14509.793</v>
      </c>
      <c r="J29" s="116">
        <v>14969.35914</v>
      </c>
      <c r="K29" s="114">
        <v>16457</v>
      </c>
      <c r="L29" s="114">
        <v>16457</v>
      </c>
      <c r="M29" s="114">
        <v>16457</v>
      </c>
      <c r="N29" s="114">
        <f t="shared" ref="N29:P29" si="7">M29*1.04</f>
        <v>17115.28</v>
      </c>
      <c r="O29" s="114">
        <f t="shared" si="7"/>
        <v>17799.891199999998</v>
      </c>
      <c r="P29" s="114">
        <f t="shared" si="7"/>
        <v>18511.886847999998</v>
      </c>
      <c r="Q29" s="119" t="s">
        <v>644</v>
      </c>
    </row>
    <row r="30" spans="1:19" ht="70.5" customHeight="1">
      <c r="A30" s="266" t="s">
        <v>10</v>
      </c>
      <c r="B30" s="267" t="s">
        <v>11</v>
      </c>
      <c r="C30" s="267" t="s">
        <v>32</v>
      </c>
      <c r="D30" s="271"/>
      <c r="E30" s="272" t="s">
        <v>37</v>
      </c>
      <c r="F30" s="119" t="s">
        <v>637</v>
      </c>
      <c r="G30" s="115">
        <f>'[1]ресурсн обеспечен'!L64</f>
        <v>525.20000000000005</v>
      </c>
      <c r="H30" s="115">
        <v>576.6</v>
      </c>
      <c r="I30" s="116">
        <v>591.43299999999999</v>
      </c>
      <c r="J30" s="116">
        <v>626.70498999999995</v>
      </c>
      <c r="K30" s="114">
        <v>620.20000000000005</v>
      </c>
      <c r="L30" s="114">
        <v>620.20000000000005</v>
      </c>
      <c r="M30" s="114">
        <v>620.20000000000005</v>
      </c>
      <c r="N30" s="114">
        <f t="shared" ref="N30:P32" si="8">M30*1.04</f>
        <v>645.00800000000004</v>
      </c>
      <c r="O30" s="114">
        <f t="shared" si="8"/>
        <v>670.80832000000009</v>
      </c>
      <c r="P30" s="114">
        <f t="shared" si="8"/>
        <v>697.64065280000011</v>
      </c>
      <c r="Q30" s="119" t="s">
        <v>644</v>
      </c>
    </row>
    <row r="31" spans="1:19">
      <c r="A31" s="266" t="s">
        <v>10</v>
      </c>
      <c r="B31" s="267" t="s">
        <v>76</v>
      </c>
      <c r="C31" s="202"/>
      <c r="D31" s="202"/>
      <c r="E31" s="409" t="s">
        <v>645</v>
      </c>
      <c r="F31" s="409"/>
      <c r="G31" s="409"/>
      <c r="H31" s="409"/>
      <c r="I31" s="409"/>
      <c r="J31" s="409"/>
      <c r="K31" s="409"/>
      <c r="L31" s="409"/>
      <c r="M31" s="409"/>
      <c r="N31" s="409"/>
      <c r="O31" s="409"/>
      <c r="P31" s="409"/>
      <c r="Q31" s="409"/>
    </row>
    <row r="32" spans="1:19" ht="71.25" customHeight="1">
      <c r="A32" s="266" t="s">
        <v>10</v>
      </c>
      <c r="B32" s="267" t="s">
        <v>76</v>
      </c>
      <c r="C32" s="266" t="s">
        <v>11</v>
      </c>
      <c r="D32" s="273"/>
      <c r="E32" s="272" t="str">
        <f>'[2]ресурсн обеспечен'!E83</f>
        <v>Выплата компенсации расходов на приобретение одежды и обуви для школьников из малоимущих семей, а также семей оказавшихся в трудной жизненной ситуации</v>
      </c>
      <c r="F32" s="119" t="s">
        <v>637</v>
      </c>
      <c r="G32" s="115">
        <f>'[1]ресурсн обеспечен'!L78</f>
        <v>5000</v>
      </c>
      <c r="H32" s="115">
        <v>10323.299999999999</v>
      </c>
      <c r="I32" s="116">
        <v>9124.0619999999999</v>
      </c>
      <c r="J32" s="116">
        <v>9234.5992100000003</v>
      </c>
      <c r="K32" s="116">
        <v>0</v>
      </c>
      <c r="L32" s="116">
        <v>0</v>
      </c>
      <c r="M32" s="116">
        <v>0</v>
      </c>
      <c r="N32" s="114">
        <f t="shared" si="8"/>
        <v>0</v>
      </c>
      <c r="O32" s="114">
        <f t="shared" si="8"/>
        <v>0</v>
      </c>
      <c r="P32" s="114">
        <f t="shared" si="8"/>
        <v>0</v>
      </c>
      <c r="Q32" s="119" t="s">
        <v>644</v>
      </c>
    </row>
    <row r="33" spans="1:17" ht="60">
      <c r="A33" s="266" t="s">
        <v>10</v>
      </c>
      <c r="B33" s="267" t="s">
        <v>76</v>
      </c>
      <c r="C33" s="266" t="s">
        <v>76</v>
      </c>
      <c r="D33" s="266"/>
      <c r="E33" s="274" t="s">
        <v>761</v>
      </c>
      <c r="F33" s="119" t="s">
        <v>637</v>
      </c>
      <c r="G33" s="115">
        <f>'[1]ресурсн обеспечен'!L79</f>
        <v>309278.40000000002</v>
      </c>
      <c r="H33" s="115">
        <v>354102.4</v>
      </c>
      <c r="I33" s="116">
        <v>326585.35800000001</v>
      </c>
      <c r="J33" s="116">
        <v>246959.89056</v>
      </c>
      <c r="K33" s="116">
        <v>285108.59999999998</v>
      </c>
      <c r="L33" s="116">
        <v>285108.59999999998</v>
      </c>
      <c r="M33" s="116">
        <v>285108.59999999998</v>
      </c>
      <c r="N33" s="114">
        <f t="shared" ref="N33:P33" si="9">M33*1.04</f>
        <v>296512.94399999996</v>
      </c>
      <c r="O33" s="114">
        <f t="shared" si="9"/>
        <v>308373.46175999998</v>
      </c>
      <c r="P33" s="114">
        <f t="shared" si="9"/>
        <v>320708.40023039997</v>
      </c>
      <c r="Q33" s="119" t="s">
        <v>644</v>
      </c>
    </row>
    <row r="34" spans="1:17" ht="60">
      <c r="A34" s="266" t="s">
        <v>10</v>
      </c>
      <c r="B34" s="267" t="s">
        <v>76</v>
      </c>
      <c r="C34" s="266" t="s">
        <v>111</v>
      </c>
      <c r="D34" s="266"/>
      <c r="E34" s="274" t="s">
        <v>725</v>
      </c>
      <c r="F34" s="119" t="s">
        <v>637</v>
      </c>
      <c r="G34" s="115">
        <f>'[1]ресурсн обеспечен'!L80</f>
        <v>30855.4</v>
      </c>
      <c r="H34" s="115">
        <v>27056.400000000001</v>
      </c>
      <c r="I34" s="116">
        <v>24544.992999999999</v>
      </c>
      <c r="J34" s="116">
        <v>23678.832539999999</v>
      </c>
      <c r="K34" s="116">
        <v>24863</v>
      </c>
      <c r="L34" s="116">
        <v>24863</v>
      </c>
      <c r="M34" s="116">
        <v>24863</v>
      </c>
      <c r="N34" s="114">
        <f t="shared" ref="N34:P34" si="10">M34*1.04</f>
        <v>25857.52</v>
      </c>
      <c r="O34" s="114">
        <f t="shared" si="10"/>
        <v>26891.820800000001</v>
      </c>
      <c r="P34" s="114">
        <f t="shared" si="10"/>
        <v>27967.493632000002</v>
      </c>
      <c r="Q34" s="119" t="s">
        <v>644</v>
      </c>
    </row>
    <row r="35" spans="1:17" ht="146.25" customHeight="1">
      <c r="A35" s="266" t="s">
        <v>10</v>
      </c>
      <c r="B35" s="267" t="s">
        <v>76</v>
      </c>
      <c r="C35" s="266" t="s">
        <v>151</v>
      </c>
      <c r="D35" s="266"/>
      <c r="E35" s="274" t="s">
        <v>646</v>
      </c>
      <c r="F35" s="119" t="s">
        <v>731</v>
      </c>
      <c r="G35" s="115">
        <v>0</v>
      </c>
      <c r="H35" s="115">
        <v>0</v>
      </c>
      <c r="I35" s="116">
        <v>588379.19700000004</v>
      </c>
      <c r="J35" s="116">
        <v>548898.7757</v>
      </c>
      <c r="K35" s="116">
        <v>629497.1</v>
      </c>
      <c r="L35" s="116">
        <v>656105.4</v>
      </c>
      <c r="M35" s="116">
        <v>681298</v>
      </c>
      <c r="N35" s="114">
        <f t="shared" ref="N35:P35" si="11">M35*1.04</f>
        <v>708549.92</v>
      </c>
      <c r="O35" s="114">
        <f t="shared" si="11"/>
        <v>736891.91680000012</v>
      </c>
      <c r="P35" s="114">
        <f t="shared" si="11"/>
        <v>766367.59347200021</v>
      </c>
      <c r="Q35" s="119" t="s">
        <v>644</v>
      </c>
    </row>
    <row r="36" spans="1:17" ht="84" customHeight="1">
      <c r="A36" s="266" t="s">
        <v>10</v>
      </c>
      <c r="B36" s="267" t="s">
        <v>76</v>
      </c>
      <c r="C36" s="266" t="s">
        <v>639</v>
      </c>
      <c r="D36" s="266"/>
      <c r="E36" s="274" t="str">
        <f>'[2]ресурсн обеспечен'!E106</f>
        <v>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v>
      </c>
      <c r="F36" s="119" t="s">
        <v>637</v>
      </c>
      <c r="G36" s="115">
        <f>'[1]ресурсн обеспечен'!L110</f>
        <v>20000</v>
      </c>
      <c r="H36" s="115">
        <v>20000</v>
      </c>
      <c r="I36" s="116">
        <f>'[1]ресурсн обеспечен'!N101</f>
        <v>20000</v>
      </c>
      <c r="J36" s="116">
        <v>20000</v>
      </c>
      <c r="K36" s="116">
        <v>0</v>
      </c>
      <c r="L36" s="116">
        <v>0</v>
      </c>
      <c r="M36" s="116">
        <v>0</v>
      </c>
      <c r="N36" s="114">
        <f t="shared" ref="N36:P36" si="12">M36*1.04</f>
        <v>0</v>
      </c>
      <c r="O36" s="114">
        <f t="shared" si="12"/>
        <v>0</v>
      </c>
      <c r="P36" s="114">
        <f t="shared" si="12"/>
        <v>0</v>
      </c>
      <c r="Q36" s="119" t="s">
        <v>644</v>
      </c>
    </row>
    <row r="37" spans="1:17" ht="105">
      <c r="A37" s="266" t="s">
        <v>10</v>
      </c>
      <c r="B37" s="267" t="s">
        <v>76</v>
      </c>
      <c r="C37" s="266" t="s">
        <v>640</v>
      </c>
      <c r="D37" s="266"/>
      <c r="E37" s="274" t="str">
        <f>'[2]ресурсн обеспечен'!E108</f>
        <v>Денежные компенсационные выплаты за питание детям-сиротам и детям, оставшимся без попечения родителей</v>
      </c>
      <c r="F37" s="119" t="s">
        <v>637</v>
      </c>
      <c r="G37" s="115">
        <f>'[1]ресурсн обеспечен'!L161</f>
        <v>166.2</v>
      </c>
      <c r="H37" s="115">
        <v>97.8</v>
      </c>
      <c r="I37" s="116">
        <v>110.693</v>
      </c>
      <c r="J37" s="275">
        <v>146.59942999999998</v>
      </c>
      <c r="K37" s="116">
        <v>188.9</v>
      </c>
      <c r="L37" s="116">
        <v>188.9</v>
      </c>
      <c r="M37" s="116">
        <v>188.9</v>
      </c>
      <c r="N37" s="114">
        <f t="shared" ref="N37:P37" si="13">M37*1.04</f>
        <v>196.45600000000002</v>
      </c>
      <c r="O37" s="114">
        <f t="shared" si="13"/>
        <v>204.31424000000001</v>
      </c>
      <c r="P37" s="114">
        <f t="shared" si="13"/>
        <v>212.48680960000002</v>
      </c>
      <c r="Q37" s="119" t="s">
        <v>647</v>
      </c>
    </row>
    <row r="38" spans="1:17" ht="105">
      <c r="A38" s="266" t="s">
        <v>10</v>
      </c>
      <c r="B38" s="267" t="s">
        <v>76</v>
      </c>
      <c r="C38" s="266" t="s">
        <v>641</v>
      </c>
      <c r="D38" s="266"/>
      <c r="E38" s="274" t="str">
        <f>'[2]ресурсн обеспечен'!E109</f>
        <v>Денежные компенсационные выплаты по обеспечению детей-сирот и детей, оставшихся без попечения родителей, в том числе выпускников, одеждой и обувью</v>
      </c>
      <c r="F38" s="119" t="s">
        <v>637</v>
      </c>
      <c r="G38" s="115">
        <f>'[1]ресурсн обеспечен'!L162</f>
        <v>248</v>
      </c>
      <c r="H38" s="115">
        <v>521.4</v>
      </c>
      <c r="I38" s="116">
        <v>576.81399999999996</v>
      </c>
      <c r="J38" s="116">
        <v>686.98469999999998</v>
      </c>
      <c r="K38" s="116">
        <v>771.1</v>
      </c>
      <c r="L38" s="116">
        <v>771.1</v>
      </c>
      <c r="M38" s="116">
        <v>771.1</v>
      </c>
      <c r="N38" s="114">
        <f t="shared" ref="N38:P38" si="14">M38*1.04</f>
        <v>801.94400000000007</v>
      </c>
      <c r="O38" s="114">
        <f t="shared" si="14"/>
        <v>834.02176000000009</v>
      </c>
      <c r="P38" s="114">
        <f t="shared" si="14"/>
        <v>867.38263040000015</v>
      </c>
      <c r="Q38" s="119" t="s">
        <v>647</v>
      </c>
    </row>
    <row r="39" spans="1:17" ht="105">
      <c r="A39" s="266" t="s">
        <v>10</v>
      </c>
      <c r="B39" s="267" t="s">
        <v>76</v>
      </c>
      <c r="C39" s="266" t="s">
        <v>642</v>
      </c>
      <c r="D39" s="266"/>
      <c r="E39" s="274" t="str">
        <f>'[2]ресурсн обеспечен'!E110</f>
        <v>Выплаты единовременного денежного пособия выпускникам образовательных организаций из числа детей-сирот и детей, оставшихся без попечения родителей</v>
      </c>
      <c r="F39" s="119" t="s">
        <v>637</v>
      </c>
      <c r="G39" s="115">
        <f>'[1]ресурсн обеспечен'!L163</f>
        <v>184.6</v>
      </c>
      <c r="H39" s="115">
        <v>0.5</v>
      </c>
      <c r="I39" s="116">
        <v>1.5</v>
      </c>
      <c r="J39" s="116">
        <v>2.5</v>
      </c>
      <c r="K39" s="116">
        <v>2.5</v>
      </c>
      <c r="L39" s="116">
        <v>2.5</v>
      </c>
      <c r="M39" s="116">
        <v>2.5</v>
      </c>
      <c r="N39" s="114">
        <f t="shared" ref="N39:P39" si="15">M39*1.04</f>
        <v>2.6</v>
      </c>
      <c r="O39" s="114">
        <f t="shared" si="15"/>
        <v>2.7040000000000002</v>
      </c>
      <c r="P39" s="114">
        <f t="shared" si="15"/>
        <v>2.8121600000000004</v>
      </c>
      <c r="Q39" s="119" t="s">
        <v>647</v>
      </c>
    </row>
    <row r="40" spans="1:17" ht="80.25" customHeight="1">
      <c r="A40" s="266"/>
      <c r="B40" s="267"/>
      <c r="C40" s="266"/>
      <c r="D40" s="266"/>
      <c r="E40" s="274" t="s">
        <v>174</v>
      </c>
      <c r="F40" s="119" t="s">
        <v>637</v>
      </c>
      <c r="G40" s="115">
        <v>50448.5</v>
      </c>
      <c r="H40" s="115">
        <v>52975.199999999997</v>
      </c>
      <c r="I40" s="116">
        <v>0</v>
      </c>
      <c r="J40" s="116">
        <v>0</v>
      </c>
      <c r="K40" s="116">
        <v>0</v>
      </c>
      <c r="L40" s="116">
        <v>0</v>
      </c>
      <c r="M40" s="116">
        <v>0</v>
      </c>
      <c r="N40" s="114">
        <f t="shared" ref="N40:P40" si="16">M40*1.04</f>
        <v>0</v>
      </c>
      <c r="O40" s="114">
        <f t="shared" si="16"/>
        <v>0</v>
      </c>
      <c r="P40" s="114">
        <f t="shared" si="16"/>
        <v>0</v>
      </c>
      <c r="Q40" s="119" t="s">
        <v>644</v>
      </c>
    </row>
    <row r="41" spans="1:17" ht="97.5" customHeight="1">
      <c r="A41" s="266"/>
      <c r="B41" s="267"/>
      <c r="C41" s="266"/>
      <c r="D41" s="266"/>
      <c r="E41" s="274" t="s">
        <v>80</v>
      </c>
      <c r="F41" s="119" t="s">
        <v>637</v>
      </c>
      <c r="G41" s="115">
        <v>546523.19999999995</v>
      </c>
      <c r="H41" s="115">
        <v>547822.6</v>
      </c>
      <c r="I41" s="116">
        <v>0</v>
      </c>
      <c r="J41" s="116">
        <v>0</v>
      </c>
      <c r="K41" s="116">
        <v>0</v>
      </c>
      <c r="L41" s="116">
        <v>0</v>
      </c>
      <c r="M41" s="116">
        <v>0</v>
      </c>
      <c r="N41" s="114">
        <f t="shared" ref="N41:P41" si="17">M41*1.04</f>
        <v>0</v>
      </c>
      <c r="O41" s="114">
        <f t="shared" si="17"/>
        <v>0</v>
      </c>
      <c r="P41" s="114">
        <f t="shared" si="17"/>
        <v>0</v>
      </c>
      <c r="Q41" s="119" t="s">
        <v>644</v>
      </c>
    </row>
    <row r="42" spans="1:17" ht="97.5" customHeight="1">
      <c r="A42" s="266"/>
      <c r="B42" s="267"/>
      <c r="C42" s="266"/>
      <c r="D42" s="266"/>
      <c r="E42" s="274" t="s">
        <v>175</v>
      </c>
      <c r="F42" s="119" t="s">
        <v>637</v>
      </c>
      <c r="G42" s="115">
        <v>1</v>
      </c>
      <c r="H42" s="115">
        <v>0.7</v>
      </c>
      <c r="I42" s="116">
        <v>0</v>
      </c>
      <c r="J42" s="116">
        <v>0</v>
      </c>
      <c r="K42" s="116">
        <v>0</v>
      </c>
      <c r="L42" s="116">
        <v>0</v>
      </c>
      <c r="M42" s="116">
        <v>0</v>
      </c>
      <c r="N42" s="114">
        <f t="shared" ref="N42:P42" si="18">M42*1.04</f>
        <v>0</v>
      </c>
      <c r="O42" s="114">
        <f t="shared" si="18"/>
        <v>0</v>
      </c>
      <c r="P42" s="114">
        <f t="shared" si="18"/>
        <v>0</v>
      </c>
      <c r="Q42" s="119" t="s">
        <v>644</v>
      </c>
    </row>
    <row r="43" spans="1:17" ht="83.25" customHeight="1">
      <c r="A43" s="266"/>
      <c r="B43" s="267"/>
      <c r="C43" s="266"/>
      <c r="D43" s="266"/>
      <c r="E43" s="274" t="s">
        <v>176</v>
      </c>
      <c r="F43" s="119" t="s">
        <v>637</v>
      </c>
      <c r="G43" s="115">
        <v>2.8</v>
      </c>
      <c r="H43" s="115">
        <v>3.1</v>
      </c>
      <c r="I43" s="116">
        <v>0</v>
      </c>
      <c r="J43" s="116">
        <v>0</v>
      </c>
      <c r="K43" s="116">
        <v>0</v>
      </c>
      <c r="L43" s="116">
        <v>0</v>
      </c>
      <c r="M43" s="116">
        <v>0</v>
      </c>
      <c r="N43" s="114">
        <f t="shared" ref="N43:P45" si="19">M43*1.04</f>
        <v>0</v>
      </c>
      <c r="O43" s="114">
        <f t="shared" si="19"/>
        <v>0</v>
      </c>
      <c r="P43" s="114">
        <f t="shared" si="19"/>
        <v>0</v>
      </c>
      <c r="Q43" s="119" t="s">
        <v>644</v>
      </c>
    </row>
    <row r="44" spans="1:17">
      <c r="A44" s="266" t="s">
        <v>10</v>
      </c>
      <c r="B44" s="267" t="s">
        <v>111</v>
      </c>
      <c r="C44" s="202"/>
      <c r="D44" s="202"/>
      <c r="E44" s="409" t="s">
        <v>648</v>
      </c>
      <c r="F44" s="409"/>
      <c r="G44" s="409"/>
      <c r="H44" s="409"/>
      <c r="I44" s="409"/>
      <c r="J44" s="409"/>
      <c r="K44" s="409"/>
      <c r="L44" s="409"/>
      <c r="M44" s="409"/>
      <c r="N44" s="409"/>
      <c r="O44" s="409"/>
      <c r="P44" s="409"/>
      <c r="Q44" s="409"/>
    </row>
    <row r="45" spans="1:17" ht="96.75" customHeight="1">
      <c r="A45" s="273" t="s">
        <v>10</v>
      </c>
      <c r="B45" s="267" t="s">
        <v>111</v>
      </c>
      <c r="C45" s="267" t="s">
        <v>11</v>
      </c>
      <c r="D45" s="267"/>
      <c r="E45" s="274" t="s">
        <v>119</v>
      </c>
      <c r="F45" s="119" t="s">
        <v>637</v>
      </c>
      <c r="G45" s="115">
        <f>'[1]ресурсн обеспечен'!L166</f>
        <v>3900</v>
      </c>
      <c r="H45" s="115">
        <v>3578.4</v>
      </c>
      <c r="I45" s="116">
        <v>3194.67</v>
      </c>
      <c r="J45" s="116">
        <v>2601.2372799999998</v>
      </c>
      <c r="K45" s="116">
        <v>3195</v>
      </c>
      <c r="L45" s="116">
        <v>3195</v>
      </c>
      <c r="M45" s="116">
        <v>3195</v>
      </c>
      <c r="N45" s="114">
        <f t="shared" si="19"/>
        <v>3322.8</v>
      </c>
      <c r="O45" s="114">
        <f t="shared" si="19"/>
        <v>3455.7120000000004</v>
      </c>
      <c r="P45" s="114">
        <f t="shared" si="19"/>
        <v>3593.9404800000007</v>
      </c>
      <c r="Q45" s="119" t="s">
        <v>649</v>
      </c>
    </row>
    <row r="46" spans="1:17">
      <c r="A46" s="276"/>
    </row>
    <row r="47" spans="1:17">
      <c r="A47" s="277"/>
      <c r="B47" s="414" t="s">
        <v>458</v>
      </c>
      <c r="C47" s="414"/>
      <c r="D47" s="414"/>
      <c r="E47" s="414"/>
      <c r="F47" s="414"/>
      <c r="G47" s="414"/>
      <c r="H47" s="414"/>
      <c r="I47" s="414"/>
      <c r="J47" s="414"/>
      <c r="K47" s="414"/>
      <c r="L47" s="414"/>
      <c r="M47" s="414"/>
      <c r="N47" s="414"/>
      <c r="O47" s="414"/>
      <c r="P47" s="414"/>
      <c r="Q47" s="414"/>
    </row>
  </sheetData>
  <mergeCells count="27">
    <mergeCell ref="E20:Q20"/>
    <mergeCell ref="E31:Q31"/>
    <mergeCell ref="E44:Q44"/>
    <mergeCell ref="B47:Q47"/>
    <mergeCell ref="G18:G19"/>
    <mergeCell ref="H18:H19"/>
    <mergeCell ref="I18:I19"/>
    <mergeCell ref="J18:J19"/>
    <mergeCell ref="K18:K19"/>
    <mergeCell ref="L18:L19"/>
    <mergeCell ref="F13:Q13"/>
    <mergeCell ref="F14:Q14"/>
    <mergeCell ref="F15:Q15"/>
    <mergeCell ref="A17:B18"/>
    <mergeCell ref="C17:C19"/>
    <mergeCell ref="E17:E19"/>
    <mergeCell ref="F17:F19"/>
    <mergeCell ref="G17:P17"/>
    <mergeCell ref="Q17:Q19"/>
    <mergeCell ref="M18:M19"/>
    <mergeCell ref="A12:E12"/>
    <mergeCell ref="F12:Q12"/>
    <mergeCell ref="K1:Q1"/>
    <mergeCell ref="K2:Q2"/>
    <mergeCell ref="K6:Q6"/>
    <mergeCell ref="K7:Q7"/>
    <mergeCell ref="A10:Q10"/>
  </mergeCells>
  <pageMargins left="0.43307086614173229" right="0.31496062992125984" top="0.45" bottom="0.18" header="0.31496062992125984" footer="0.13"/>
  <pageSetup paperSize="9" scale="57" fitToHeight="4" orientation="landscape" r:id="rId1"/>
  <headerFooter differentFirst="1">
    <oddHeader>&amp;C&amp;P</oddHeader>
    <firstHeader xml:space="preserve">&amp;C&amp;Л&amp;Ж 
&amp;Ж&amp;Ц&amp;Д&amp;ПСтраница &amp;С
</firstHeader>
  </headerFooter>
</worksheet>
</file>

<file path=xl/worksheets/sheet4.xml><?xml version="1.0" encoding="utf-8"?>
<worksheet xmlns="http://schemas.openxmlformats.org/spreadsheetml/2006/main" xmlns:r="http://schemas.openxmlformats.org/officeDocument/2006/relationships">
  <sheetPr filterMode="1">
    <tabColor theme="9" tint="0.39997558519241921"/>
    <pageSetUpPr fitToPage="1"/>
  </sheetPr>
  <dimension ref="A1:AJ64"/>
  <sheetViews>
    <sheetView topLeftCell="B33" zoomScale="80" zoomScaleNormal="80" workbookViewId="0">
      <selection activeCell="P67" sqref="P67"/>
    </sheetView>
  </sheetViews>
  <sheetFormatPr defaultRowHeight="15"/>
  <cols>
    <col min="1" max="1" width="5.140625" style="278" customWidth="1"/>
    <col min="2" max="2" width="6.28515625" style="278" customWidth="1"/>
    <col min="3" max="3" width="5.5703125" style="278" customWidth="1"/>
    <col min="4" max="4" width="6.42578125" style="24" customWidth="1"/>
    <col min="5" max="5" width="34.28515625" style="24" customWidth="1"/>
    <col min="6" max="6" width="29.28515625" style="24" customWidth="1"/>
    <col min="7" max="7" width="23.140625" style="24" bestFit="1" customWidth="1"/>
    <col min="8" max="10" width="7.42578125" style="24" customWidth="1"/>
    <col min="11" max="11" width="7.42578125" style="24" bestFit="1" customWidth="1"/>
    <col min="12" max="14" width="9.42578125" style="24" bestFit="1" customWidth="1"/>
    <col min="15" max="16" width="9.42578125" style="24" customWidth="1"/>
    <col min="17" max="17" width="7.42578125" style="24" bestFit="1" customWidth="1"/>
    <col min="18" max="18" width="9.28515625" style="24" customWidth="1"/>
    <col min="19" max="19" width="11.5703125" style="24" customWidth="1"/>
    <col min="20" max="20" width="10.85546875" style="24" customWidth="1"/>
    <col min="21" max="21" width="11.28515625" style="24" bestFit="1" customWidth="1"/>
    <col min="22" max="22" width="10.85546875" style="24" customWidth="1"/>
    <col min="23" max="24" width="11.28515625" style="24" bestFit="1" customWidth="1"/>
    <col min="25" max="27" width="9.42578125" style="24" customWidth="1"/>
    <col min="28" max="29" width="9.140625" style="24"/>
    <col min="30" max="36" width="11.42578125" style="24" bestFit="1" customWidth="1"/>
    <col min="37" max="16384" width="9.140625" style="24"/>
  </cols>
  <sheetData>
    <row r="1" spans="1:27" s="106" customFormat="1" ht="15.75" hidden="1">
      <c r="A1" s="120"/>
      <c r="B1" s="120"/>
      <c r="C1" s="120"/>
      <c r="H1" s="24"/>
      <c r="I1" s="24"/>
      <c r="J1" s="24"/>
      <c r="K1" s="24"/>
      <c r="L1" s="24"/>
      <c r="M1" s="24"/>
      <c r="N1" s="24"/>
      <c r="O1" s="24"/>
      <c r="P1" s="24"/>
      <c r="Q1" s="24"/>
      <c r="S1" s="403" t="s">
        <v>651</v>
      </c>
      <c r="T1" s="403"/>
      <c r="U1" s="403"/>
      <c r="V1" s="403"/>
      <c r="W1" s="403"/>
      <c r="X1" s="403"/>
      <c r="Y1" s="24"/>
      <c r="Z1" s="24"/>
      <c r="AA1" s="24"/>
    </row>
    <row r="2" spans="1:27" s="106" customFormat="1" ht="48.75" hidden="1" customHeight="1">
      <c r="A2" s="120"/>
      <c r="B2" s="120"/>
      <c r="C2" s="120"/>
      <c r="H2" s="24"/>
      <c r="I2" s="24"/>
      <c r="J2" s="24"/>
      <c r="K2" s="24"/>
      <c r="L2" s="24"/>
      <c r="M2" s="24"/>
      <c r="N2" s="24"/>
      <c r="O2" s="24"/>
      <c r="P2" s="24"/>
      <c r="Q2" s="24"/>
      <c r="S2" s="404" t="s">
        <v>652</v>
      </c>
      <c r="T2" s="404"/>
      <c r="U2" s="404"/>
      <c r="V2" s="404"/>
      <c r="W2" s="404"/>
      <c r="X2" s="404"/>
      <c r="Y2" s="24"/>
      <c r="Z2" s="24"/>
      <c r="AA2" s="24"/>
    </row>
    <row r="3" spans="1:27" s="106" customFormat="1" hidden="1">
      <c r="A3" s="120"/>
      <c r="B3" s="120"/>
      <c r="C3" s="120"/>
      <c r="H3" s="24"/>
      <c r="I3" s="24"/>
      <c r="J3" s="24"/>
      <c r="K3" s="24"/>
      <c r="L3" s="24"/>
      <c r="M3" s="24"/>
      <c r="N3" s="24"/>
      <c r="O3" s="24"/>
      <c r="P3" s="24"/>
      <c r="Q3" s="24"/>
      <c r="U3" s="24"/>
      <c r="V3" s="24"/>
      <c r="W3" s="24"/>
      <c r="X3" s="24"/>
      <c r="Y3" s="24"/>
      <c r="Z3" s="24"/>
      <c r="AA3" s="24"/>
    </row>
    <row r="4" spans="1:27" ht="15.75">
      <c r="H4" s="419"/>
      <c r="I4" s="419"/>
      <c r="J4" s="419"/>
      <c r="K4" s="419"/>
      <c r="L4" s="419"/>
      <c r="M4" s="419"/>
      <c r="N4" s="419"/>
      <c r="O4" s="419"/>
      <c r="P4" s="419"/>
      <c r="Q4" s="419"/>
      <c r="R4" s="419"/>
      <c r="S4" s="403" t="s">
        <v>651</v>
      </c>
      <c r="T4" s="403"/>
      <c r="U4" s="403"/>
      <c r="V4" s="403"/>
      <c r="W4" s="403"/>
      <c r="X4" s="403"/>
    </row>
    <row r="5" spans="1:27" ht="5.25" customHeight="1">
      <c r="R5" s="260"/>
      <c r="T5" s="121"/>
      <c r="U5" s="121"/>
      <c r="V5" s="121"/>
      <c r="W5" s="121"/>
      <c r="X5" s="121"/>
    </row>
    <row r="6" spans="1:27" ht="60.75" customHeight="1">
      <c r="H6" s="420"/>
      <c r="I6" s="420"/>
      <c r="J6" s="420"/>
      <c r="K6" s="420"/>
      <c r="L6" s="420"/>
      <c r="M6" s="420"/>
      <c r="N6" s="420"/>
      <c r="O6" s="420"/>
      <c r="P6" s="420"/>
      <c r="Q6" s="420"/>
      <c r="R6" s="420"/>
      <c r="S6" s="421" t="s">
        <v>480</v>
      </c>
      <c r="T6" s="421"/>
      <c r="U6" s="421"/>
      <c r="V6" s="421"/>
      <c r="W6" s="421"/>
      <c r="X6" s="421"/>
    </row>
    <row r="7" spans="1:27" ht="21.75" customHeight="1">
      <c r="E7" s="109"/>
      <c r="F7" s="109"/>
      <c r="G7" s="109"/>
      <c r="H7" s="109"/>
      <c r="I7" s="109"/>
      <c r="J7" s="109"/>
      <c r="K7" s="109"/>
      <c r="L7" s="109"/>
      <c r="M7" s="109"/>
      <c r="N7" s="109"/>
      <c r="O7" s="109"/>
      <c r="P7" s="109"/>
      <c r="Q7" s="109"/>
      <c r="R7" s="260"/>
      <c r="Y7" s="109"/>
      <c r="Z7" s="109"/>
      <c r="AA7" s="109"/>
    </row>
    <row r="8" spans="1:27">
      <c r="E8" s="109"/>
      <c r="F8" s="109"/>
      <c r="G8" s="109"/>
      <c r="H8" s="109"/>
      <c r="I8" s="109"/>
      <c r="J8" s="109"/>
      <c r="K8" s="109"/>
      <c r="L8" s="109"/>
      <c r="M8" s="109"/>
      <c r="N8" s="109"/>
      <c r="O8" s="109"/>
      <c r="P8" s="109"/>
      <c r="Q8" s="109"/>
      <c r="R8" s="260"/>
      <c r="Y8" s="109"/>
      <c r="Z8" s="109"/>
      <c r="AA8" s="109"/>
    </row>
    <row r="9" spans="1:27" ht="39" customHeight="1">
      <c r="A9" s="405" t="s">
        <v>653</v>
      </c>
      <c r="B9" s="405"/>
      <c r="C9" s="405"/>
      <c r="D9" s="405"/>
      <c r="E9" s="405"/>
      <c r="F9" s="405"/>
      <c r="G9" s="405"/>
      <c r="H9" s="405"/>
      <c r="I9" s="405"/>
      <c r="J9" s="405"/>
      <c r="K9" s="405"/>
      <c r="L9" s="405"/>
      <c r="M9" s="405"/>
      <c r="N9" s="405"/>
      <c r="O9" s="405"/>
      <c r="P9" s="405"/>
      <c r="Q9" s="405"/>
      <c r="R9" s="405"/>
      <c r="S9" s="405"/>
      <c r="T9" s="405"/>
      <c r="U9" s="405"/>
      <c r="V9" s="405"/>
      <c r="W9" s="405"/>
      <c r="X9" s="405"/>
    </row>
    <row r="10" spans="1:27">
      <c r="E10" s="109"/>
      <c r="F10" s="109"/>
      <c r="G10" s="109"/>
      <c r="H10" s="109"/>
      <c r="I10" s="109"/>
      <c r="J10" s="109"/>
      <c r="K10" s="109"/>
      <c r="L10" s="109"/>
      <c r="M10" s="109"/>
      <c r="N10" s="109"/>
      <c r="O10" s="109"/>
      <c r="P10" s="109"/>
      <c r="Q10" s="109"/>
      <c r="R10" s="109"/>
      <c r="Y10" s="109"/>
      <c r="Z10" s="109"/>
      <c r="AA10" s="109"/>
    </row>
    <row r="11" spans="1:27">
      <c r="A11" s="279" t="s">
        <v>163</v>
      </c>
      <c r="B11" s="279"/>
      <c r="C11" s="279"/>
      <c r="D11" s="263"/>
      <c r="E11" s="263"/>
      <c r="F11" s="402" t="s">
        <v>164</v>
      </c>
      <c r="G11" s="402"/>
      <c r="H11" s="402"/>
      <c r="I11" s="402"/>
      <c r="J11" s="402"/>
      <c r="K11" s="402"/>
      <c r="L11" s="402"/>
      <c r="M11" s="402"/>
      <c r="N11" s="402"/>
      <c r="O11" s="402"/>
      <c r="P11" s="402"/>
      <c r="Q11" s="402"/>
      <c r="R11" s="402"/>
      <c r="S11" s="402"/>
      <c r="T11" s="402"/>
      <c r="U11" s="402"/>
      <c r="V11" s="402"/>
      <c r="W11" s="402"/>
      <c r="X11" s="402"/>
    </row>
    <row r="12" spans="1:27">
      <c r="E12" s="280"/>
      <c r="F12" s="406" t="s">
        <v>1</v>
      </c>
      <c r="G12" s="406"/>
      <c r="H12" s="406"/>
      <c r="I12" s="406"/>
      <c r="J12" s="406"/>
      <c r="K12" s="406"/>
      <c r="L12" s="406"/>
      <c r="M12" s="406"/>
      <c r="N12" s="406"/>
      <c r="O12" s="406"/>
      <c r="P12" s="406"/>
      <c r="Q12" s="406"/>
      <c r="R12" s="406"/>
      <c r="S12" s="406"/>
      <c r="T12" s="406"/>
      <c r="U12" s="406"/>
      <c r="V12" s="406"/>
      <c r="W12" s="406"/>
      <c r="X12" s="406"/>
    </row>
    <row r="13" spans="1:27">
      <c r="A13" s="422" t="s">
        <v>2</v>
      </c>
      <c r="B13" s="422"/>
      <c r="C13" s="422"/>
      <c r="D13" s="422"/>
      <c r="E13" s="422"/>
      <c r="F13" s="402" t="s">
        <v>3</v>
      </c>
      <c r="G13" s="402"/>
      <c r="H13" s="402"/>
      <c r="I13" s="402"/>
      <c r="J13" s="402"/>
      <c r="K13" s="402"/>
      <c r="L13" s="402"/>
      <c r="M13" s="402"/>
      <c r="N13" s="402"/>
      <c r="O13" s="402"/>
      <c r="P13" s="402"/>
      <c r="Q13" s="402"/>
      <c r="R13" s="402"/>
      <c r="S13" s="402"/>
      <c r="T13" s="402"/>
      <c r="U13" s="402"/>
      <c r="V13" s="402"/>
      <c r="W13" s="402"/>
      <c r="X13" s="402"/>
    </row>
    <row r="14" spans="1:27">
      <c r="E14" s="265"/>
      <c r="F14" s="406" t="s">
        <v>4</v>
      </c>
      <c r="G14" s="406"/>
      <c r="H14" s="406"/>
      <c r="I14" s="406"/>
      <c r="J14" s="406"/>
      <c r="K14" s="406"/>
      <c r="L14" s="406"/>
      <c r="M14" s="406"/>
      <c r="N14" s="406"/>
      <c r="O14" s="406"/>
      <c r="P14" s="406"/>
      <c r="Q14" s="406"/>
      <c r="R14" s="406"/>
      <c r="S14" s="406"/>
      <c r="T14" s="406"/>
      <c r="U14" s="406"/>
      <c r="V14" s="406"/>
      <c r="W14" s="406"/>
      <c r="X14" s="406"/>
    </row>
    <row r="15" spans="1:27">
      <c r="E15" s="122"/>
      <c r="F15" s="122"/>
      <c r="G15" s="122"/>
      <c r="H15" s="122"/>
      <c r="I15" s="122"/>
      <c r="J15" s="122"/>
      <c r="K15" s="122"/>
      <c r="L15" s="122"/>
      <c r="M15" s="122"/>
      <c r="N15" s="122"/>
      <c r="O15" s="122"/>
      <c r="P15" s="122"/>
      <c r="Q15" s="122"/>
      <c r="R15" s="122"/>
      <c r="Y15" s="122"/>
      <c r="Z15" s="122"/>
      <c r="AA15" s="122"/>
    </row>
    <row r="16" spans="1:27" s="142" customFormat="1" ht="43.5" customHeight="1">
      <c r="A16" s="423" t="s">
        <v>5</v>
      </c>
      <c r="B16" s="416"/>
      <c r="C16" s="416"/>
      <c r="D16" s="417"/>
      <c r="E16" s="203" t="s">
        <v>654</v>
      </c>
      <c r="F16" s="203" t="s">
        <v>655</v>
      </c>
      <c r="G16" s="424" t="s">
        <v>656</v>
      </c>
      <c r="H16" s="416"/>
      <c r="I16" s="416"/>
      <c r="J16" s="416"/>
      <c r="K16" s="416"/>
      <c r="L16" s="416"/>
      <c r="M16" s="416"/>
      <c r="N16" s="416"/>
      <c r="O16" s="416"/>
      <c r="P16" s="416"/>
      <c r="Q16" s="417"/>
      <c r="R16" s="418"/>
      <c r="S16" s="418"/>
      <c r="T16" s="418"/>
      <c r="U16" s="418"/>
      <c r="V16" s="418"/>
      <c r="W16" s="418"/>
      <c r="X16" s="418"/>
      <c r="Y16" s="418"/>
      <c r="Z16" s="418"/>
      <c r="AA16" s="418"/>
    </row>
    <row r="17" spans="1:36" s="142" customFormat="1" ht="44.25" customHeight="1">
      <c r="A17" s="267" t="s">
        <v>6</v>
      </c>
      <c r="B17" s="267" t="s">
        <v>7</v>
      </c>
      <c r="C17" s="267" t="s">
        <v>8</v>
      </c>
      <c r="D17" s="281" t="s">
        <v>9</v>
      </c>
      <c r="E17" s="203" t="s">
        <v>657</v>
      </c>
      <c r="F17" s="203" t="s">
        <v>166</v>
      </c>
      <c r="G17" s="425"/>
      <c r="H17" s="203" t="s">
        <v>167</v>
      </c>
      <c r="I17" s="203" t="s">
        <v>168</v>
      </c>
      <c r="J17" s="203" t="s">
        <v>169</v>
      </c>
      <c r="K17" s="203" t="s">
        <v>170</v>
      </c>
      <c r="L17" s="203" t="s">
        <v>171</v>
      </c>
      <c r="M17" s="203" t="s">
        <v>172</v>
      </c>
      <c r="N17" s="203" t="s">
        <v>173</v>
      </c>
      <c r="O17" s="203" t="s">
        <v>716</v>
      </c>
      <c r="P17" s="203" t="s">
        <v>717</v>
      </c>
      <c r="Q17" s="203" t="s">
        <v>718</v>
      </c>
      <c r="R17" s="132" t="s">
        <v>167</v>
      </c>
      <c r="S17" s="132" t="s">
        <v>168</v>
      </c>
      <c r="T17" s="132" t="s">
        <v>169</v>
      </c>
      <c r="U17" s="132" t="s">
        <v>170</v>
      </c>
      <c r="V17" s="132" t="s">
        <v>171</v>
      </c>
      <c r="W17" s="132" t="s">
        <v>172</v>
      </c>
      <c r="X17" s="132" t="s">
        <v>173</v>
      </c>
      <c r="Y17" s="132" t="s">
        <v>716</v>
      </c>
      <c r="Z17" s="132" t="s">
        <v>717</v>
      </c>
      <c r="AA17" s="132" t="s">
        <v>718</v>
      </c>
    </row>
    <row r="18" spans="1:36" s="92" customFormat="1" ht="38.25" hidden="1" customHeight="1">
      <c r="A18" s="101" t="s">
        <v>10</v>
      </c>
      <c r="B18" s="101" t="s">
        <v>16</v>
      </c>
      <c r="C18" s="101"/>
      <c r="D18" s="101"/>
      <c r="E18" s="98" t="s">
        <v>77</v>
      </c>
      <c r="F18" s="99"/>
      <c r="G18" s="103"/>
      <c r="H18" s="124"/>
      <c r="I18" s="124">
        <f t="shared" ref="I18:N18" si="0">I19</f>
        <v>995</v>
      </c>
      <c r="J18" s="124">
        <f t="shared" si="0"/>
        <v>0</v>
      </c>
      <c r="K18" s="124">
        <f t="shared" si="0"/>
        <v>0</v>
      </c>
      <c r="L18" s="124">
        <f t="shared" si="0"/>
        <v>0</v>
      </c>
      <c r="M18" s="124">
        <f t="shared" si="0"/>
        <v>0</v>
      </c>
      <c r="N18" s="124">
        <f t="shared" si="0"/>
        <v>0</v>
      </c>
      <c r="O18" s="124"/>
      <c r="P18" s="124"/>
      <c r="Q18" s="124"/>
      <c r="R18" s="163"/>
      <c r="S18" s="165">
        <v>9168.2999999999993</v>
      </c>
      <c r="T18" s="165"/>
      <c r="U18" s="125"/>
      <c r="V18" s="125"/>
      <c r="W18" s="125"/>
      <c r="X18" s="125"/>
      <c r="Y18" s="124"/>
      <c r="Z18" s="124"/>
      <c r="AA18" s="124"/>
    </row>
    <row r="19" spans="1:36" s="92" customFormat="1" ht="63.75" hidden="1" customHeight="1">
      <c r="A19" s="95" t="s">
        <v>10</v>
      </c>
      <c r="B19" s="95" t="s">
        <v>16</v>
      </c>
      <c r="C19" s="95" t="s">
        <v>18</v>
      </c>
      <c r="D19" s="102"/>
      <c r="E19" s="97" t="s">
        <v>87</v>
      </c>
      <c r="F19" s="97"/>
      <c r="G19" s="94"/>
      <c r="H19" s="123"/>
      <c r="I19" s="123">
        <f t="shared" ref="I19:N19" si="1">I34</f>
        <v>995</v>
      </c>
      <c r="J19" s="123">
        <f t="shared" si="1"/>
        <v>0</v>
      </c>
      <c r="K19" s="123">
        <f t="shared" si="1"/>
        <v>0</v>
      </c>
      <c r="L19" s="123">
        <f t="shared" si="1"/>
        <v>0</v>
      </c>
      <c r="M19" s="123">
        <f t="shared" si="1"/>
        <v>0</v>
      </c>
      <c r="N19" s="123">
        <f t="shared" si="1"/>
        <v>0</v>
      </c>
      <c r="O19" s="123"/>
      <c r="P19" s="123"/>
      <c r="Q19" s="123"/>
      <c r="R19" s="161"/>
      <c r="S19" s="127">
        <v>9168.2999999999993</v>
      </c>
      <c r="T19" s="127"/>
      <c r="U19" s="126"/>
      <c r="V19" s="126"/>
      <c r="W19" s="126"/>
      <c r="X19" s="126"/>
      <c r="Y19" s="123"/>
      <c r="Z19" s="123"/>
      <c r="AA19" s="123"/>
    </row>
    <row r="20" spans="1:36" s="92" customFormat="1" ht="38.25" hidden="1" customHeight="1">
      <c r="A20" s="95" t="s">
        <v>10</v>
      </c>
      <c r="B20" s="95" t="s">
        <v>76</v>
      </c>
      <c r="C20" s="95"/>
      <c r="D20" s="102"/>
      <c r="E20" s="97" t="s">
        <v>658</v>
      </c>
      <c r="F20" s="97"/>
      <c r="G20" s="94"/>
      <c r="H20" s="123"/>
      <c r="I20" s="123"/>
      <c r="J20" s="123"/>
      <c r="K20" s="123"/>
      <c r="L20" s="123"/>
      <c r="M20" s="123"/>
      <c r="N20" s="123"/>
      <c r="O20" s="123"/>
      <c r="P20" s="123"/>
      <c r="Q20" s="123"/>
      <c r="R20" s="161"/>
      <c r="S20" s="127"/>
      <c r="T20" s="127"/>
      <c r="U20" s="126"/>
      <c r="V20" s="126"/>
      <c r="W20" s="126"/>
      <c r="X20" s="126"/>
      <c r="Y20" s="123"/>
      <c r="Z20" s="123"/>
      <c r="AA20" s="123"/>
    </row>
    <row r="21" spans="1:36" s="92" customFormat="1" ht="38.25" hidden="1">
      <c r="A21" s="95" t="s">
        <v>10</v>
      </c>
      <c r="B21" s="95" t="s">
        <v>76</v>
      </c>
      <c r="C21" s="95" t="s">
        <v>18</v>
      </c>
      <c r="D21" s="93"/>
      <c r="E21" s="97" t="s">
        <v>659</v>
      </c>
      <c r="F21" s="97" t="s">
        <v>660</v>
      </c>
      <c r="G21" s="97" t="s">
        <v>661</v>
      </c>
      <c r="H21" s="123"/>
      <c r="I21" s="123"/>
      <c r="J21" s="123">
        <v>18</v>
      </c>
      <c r="K21" s="150">
        <v>18</v>
      </c>
      <c r="L21" s="150">
        <v>18</v>
      </c>
      <c r="M21" s="150">
        <v>18</v>
      </c>
      <c r="N21" s="150">
        <v>18</v>
      </c>
      <c r="O21" s="150">
        <v>18</v>
      </c>
      <c r="P21" s="150">
        <v>18</v>
      </c>
      <c r="Q21" s="150">
        <v>18</v>
      </c>
      <c r="R21" s="127"/>
      <c r="S21" s="127"/>
      <c r="T21" s="127">
        <v>15929.4</v>
      </c>
      <c r="U21" s="126">
        <f>'ресурсн обеспечен  (2)'!O98</f>
        <v>27640.6</v>
      </c>
      <c r="V21" s="126">
        <f>'ресурсн обеспечен  (2)'!P98</f>
        <v>23628.5</v>
      </c>
      <c r="W21" s="126">
        <f>'ресурсн обеспечен  (2)'!Q98</f>
        <v>21628.5</v>
      </c>
      <c r="X21" s="126">
        <f>'ресурсн обеспечен  (2)'!R98</f>
        <v>21628.5</v>
      </c>
      <c r="Y21" s="126">
        <f>'ресурсн обеспечен  (2)'!S98</f>
        <v>22493.64</v>
      </c>
      <c r="Z21" s="126">
        <f>'ресурсн обеспечен  (2)'!T98</f>
        <v>23393.385600000001</v>
      </c>
      <c r="AA21" s="126">
        <f>'ресурсн обеспечен  (2)'!U98</f>
        <v>24329.121024000004</v>
      </c>
    </row>
    <row r="22" spans="1:36" s="142" customFormat="1" ht="25.5">
      <c r="A22" s="124">
        <v>30</v>
      </c>
      <c r="B22" s="124">
        <v>3</v>
      </c>
      <c r="C22" s="124"/>
      <c r="D22" s="203"/>
      <c r="E22" s="282" t="s">
        <v>112</v>
      </c>
      <c r="F22" s="274"/>
      <c r="G22" s="274"/>
      <c r="H22" s="203"/>
      <c r="I22" s="203"/>
      <c r="J22" s="203"/>
      <c r="K22" s="203"/>
      <c r="L22" s="203"/>
      <c r="M22" s="203"/>
      <c r="N22" s="203"/>
      <c r="O22" s="203"/>
      <c r="P22" s="203"/>
      <c r="Q22" s="203"/>
      <c r="R22" s="126"/>
      <c r="S22" s="126"/>
      <c r="T22" s="126"/>
      <c r="U22" s="126"/>
      <c r="V22" s="126"/>
      <c r="W22" s="126"/>
      <c r="X22" s="126"/>
      <c r="Y22" s="203"/>
      <c r="Z22" s="203"/>
      <c r="AA22" s="203"/>
    </row>
    <row r="23" spans="1:36" s="142" customFormat="1" ht="230.25" customHeight="1">
      <c r="A23" s="267" t="s">
        <v>10</v>
      </c>
      <c r="B23" s="267" t="s">
        <v>111</v>
      </c>
      <c r="C23" s="267" t="s">
        <v>13</v>
      </c>
      <c r="D23" s="267"/>
      <c r="E23" s="283" t="s">
        <v>662</v>
      </c>
      <c r="F23" s="284" t="s">
        <v>663</v>
      </c>
      <c r="G23" s="274" t="s">
        <v>664</v>
      </c>
      <c r="H23" s="203"/>
      <c r="I23" s="203">
        <v>3267</v>
      </c>
      <c r="J23" s="203">
        <v>3259</v>
      </c>
      <c r="K23" s="203">
        <f>9789-K31</f>
        <v>3622</v>
      </c>
      <c r="L23" s="203">
        <f t="shared" ref="L23:Q23" si="2">9789-L31</f>
        <v>3622</v>
      </c>
      <c r="M23" s="203">
        <f t="shared" si="2"/>
        <v>3622</v>
      </c>
      <c r="N23" s="203">
        <f t="shared" si="2"/>
        <v>3622</v>
      </c>
      <c r="O23" s="203">
        <f t="shared" si="2"/>
        <v>3622</v>
      </c>
      <c r="P23" s="203">
        <f t="shared" si="2"/>
        <v>3622</v>
      </c>
      <c r="Q23" s="203">
        <f t="shared" si="2"/>
        <v>3622</v>
      </c>
      <c r="R23" s="126"/>
      <c r="S23" s="285">
        <f>'[3]ресурсн обеспечен '!M137</f>
        <v>593771</v>
      </c>
      <c r="T23" s="285">
        <v>647601.6</v>
      </c>
      <c r="U23" s="285">
        <v>897725.6</v>
      </c>
      <c r="V23" s="285">
        <v>736185.5</v>
      </c>
      <c r="W23" s="285">
        <v>711656.5</v>
      </c>
      <c r="X23" s="285">
        <v>711656.5</v>
      </c>
      <c r="Y23" s="285">
        <v>740122.76</v>
      </c>
      <c r="Z23" s="285">
        <v>769727.67040000006</v>
      </c>
      <c r="AA23" s="285">
        <v>800516.77721600013</v>
      </c>
    </row>
    <row r="24" spans="1:36" s="142" customFormat="1" ht="95.25" customHeight="1">
      <c r="A24" s="267" t="s">
        <v>10</v>
      </c>
      <c r="B24" s="267" t="s">
        <v>111</v>
      </c>
      <c r="C24" s="267" t="s">
        <v>16</v>
      </c>
      <c r="D24" s="266"/>
      <c r="E24" s="274" t="s">
        <v>665</v>
      </c>
      <c r="F24" s="274" t="s">
        <v>666</v>
      </c>
      <c r="G24" s="274" t="s">
        <v>667</v>
      </c>
      <c r="H24" s="203"/>
      <c r="I24" s="203"/>
      <c r="J24" s="203">
        <v>63648</v>
      </c>
      <c r="K24" s="203">
        <v>67200</v>
      </c>
      <c r="L24" s="203">
        <v>67200</v>
      </c>
      <c r="M24" s="203">
        <v>67200</v>
      </c>
      <c r="N24" s="203">
        <v>67200</v>
      </c>
      <c r="O24" s="203">
        <v>67200</v>
      </c>
      <c r="P24" s="203">
        <v>67200</v>
      </c>
      <c r="Q24" s="203">
        <v>67200</v>
      </c>
      <c r="R24" s="203"/>
      <c r="S24" s="285"/>
      <c r="T24" s="285">
        <v>46204.4</v>
      </c>
      <c r="U24" s="285">
        <v>53166.438878136447</v>
      </c>
      <c r="V24" s="285">
        <v>31888.186072613535</v>
      </c>
      <c r="W24" s="285">
        <v>31888.186072613535</v>
      </c>
      <c r="X24" s="285">
        <v>31888.186072613535</v>
      </c>
      <c r="Y24" s="285">
        <v>33163.713515518073</v>
      </c>
      <c r="Z24" s="285">
        <v>34490.262056138796</v>
      </c>
      <c r="AA24" s="285">
        <v>35869.872538384348</v>
      </c>
      <c r="AB24" s="142">
        <f>T24/AC24</f>
        <v>0.9980559203704984</v>
      </c>
      <c r="AC24" s="142">
        <v>46294.400000000001</v>
      </c>
      <c r="AD24" s="142">
        <v>53270</v>
      </c>
      <c r="AE24" s="142">
        <v>31950.3</v>
      </c>
      <c r="AF24" s="142">
        <v>31950.3</v>
      </c>
      <c r="AG24" s="142">
        <v>31950.3</v>
      </c>
      <c r="AH24" s="142">
        <v>33228.311999999998</v>
      </c>
      <c r="AI24" s="142">
        <v>34557.444479999998</v>
      </c>
      <c r="AJ24" s="142">
        <v>35939.7422592</v>
      </c>
    </row>
    <row r="25" spans="1:36" s="142" customFormat="1" ht="85.5" customHeight="1">
      <c r="A25" s="267" t="s">
        <v>10</v>
      </c>
      <c r="B25" s="267" t="s">
        <v>111</v>
      </c>
      <c r="C25" s="267" t="s">
        <v>16</v>
      </c>
      <c r="D25" s="266"/>
      <c r="E25" s="274" t="s">
        <v>668</v>
      </c>
      <c r="F25" s="274" t="s">
        <v>669</v>
      </c>
      <c r="G25" s="274" t="s">
        <v>670</v>
      </c>
      <c r="H25" s="203"/>
      <c r="I25" s="203"/>
      <c r="J25" s="203">
        <v>24</v>
      </c>
      <c r="K25" s="203">
        <v>34</v>
      </c>
      <c r="L25" s="203">
        <v>34</v>
      </c>
      <c r="M25" s="203">
        <v>34</v>
      </c>
      <c r="N25" s="203">
        <v>34</v>
      </c>
      <c r="O25" s="203">
        <v>34</v>
      </c>
      <c r="P25" s="203">
        <v>34</v>
      </c>
      <c r="Q25" s="203">
        <v>34</v>
      </c>
      <c r="R25" s="203"/>
      <c r="S25" s="285"/>
      <c r="T25" s="285">
        <v>17.399999999999999</v>
      </c>
      <c r="U25" s="285">
        <v>20.021816893619963</v>
      </c>
      <c r="V25" s="285">
        <v>12.008692628050044</v>
      </c>
      <c r="W25" s="285">
        <v>12.008692628050044</v>
      </c>
      <c r="X25" s="285">
        <v>12.008692628050044</v>
      </c>
      <c r="Y25" s="285">
        <v>12.489040333172046</v>
      </c>
      <c r="Z25" s="285">
        <v>12.988601946498926</v>
      </c>
      <c r="AA25" s="285">
        <v>13.508146024358885</v>
      </c>
      <c r="AB25" s="142">
        <f>T25/AC24</f>
        <v>3.7585539503698069E-4</v>
      </c>
      <c r="AD25" s="142">
        <v>53270</v>
      </c>
      <c r="AE25" s="142">
        <v>31950.3</v>
      </c>
      <c r="AF25" s="142">
        <v>31950.3</v>
      </c>
      <c r="AG25" s="142">
        <v>31950.3</v>
      </c>
      <c r="AH25" s="142">
        <v>33228.311999999998</v>
      </c>
      <c r="AI25" s="142">
        <v>34557.444479999998</v>
      </c>
      <c r="AJ25" s="142">
        <v>35939.7422592</v>
      </c>
    </row>
    <row r="26" spans="1:36" s="142" customFormat="1" ht="84.75" customHeight="1">
      <c r="A26" s="267" t="s">
        <v>10</v>
      </c>
      <c r="B26" s="267" t="s">
        <v>111</v>
      </c>
      <c r="C26" s="267" t="s">
        <v>16</v>
      </c>
      <c r="D26" s="266"/>
      <c r="E26" s="274" t="s">
        <v>671</v>
      </c>
      <c r="F26" s="274" t="s">
        <v>669</v>
      </c>
      <c r="G26" s="274" t="s">
        <v>670</v>
      </c>
      <c r="H26" s="203"/>
      <c r="I26" s="203"/>
      <c r="J26" s="203">
        <v>30.2</v>
      </c>
      <c r="K26" s="203">
        <v>32</v>
      </c>
      <c r="L26" s="203">
        <v>32</v>
      </c>
      <c r="M26" s="203">
        <v>32</v>
      </c>
      <c r="N26" s="203">
        <v>32</v>
      </c>
      <c r="O26" s="203">
        <v>32</v>
      </c>
      <c r="P26" s="203">
        <v>32</v>
      </c>
      <c r="Q26" s="203">
        <v>32</v>
      </c>
      <c r="R26" s="203"/>
      <c r="S26" s="285"/>
      <c r="T26" s="285">
        <v>29</v>
      </c>
      <c r="U26" s="285">
        <v>33.369694822699934</v>
      </c>
      <c r="V26" s="285">
        <v>20.014487713416738</v>
      </c>
      <c r="W26" s="285">
        <v>20.014487713416738</v>
      </c>
      <c r="X26" s="285">
        <v>20.014487713416738</v>
      </c>
      <c r="Y26" s="285">
        <v>20.815067221953406</v>
      </c>
      <c r="Z26" s="285">
        <v>21.647669910831546</v>
      </c>
      <c r="AA26" s="285">
        <v>22.513576707264807</v>
      </c>
      <c r="AB26" s="142">
        <f>T26/AC24</f>
        <v>6.2642565839496778E-4</v>
      </c>
      <c r="AD26" s="142">
        <v>53270</v>
      </c>
      <c r="AE26" s="142">
        <v>31950.3</v>
      </c>
      <c r="AF26" s="142">
        <v>31950.3</v>
      </c>
      <c r="AG26" s="142">
        <v>31950.3</v>
      </c>
      <c r="AH26" s="142">
        <v>33228.311999999998</v>
      </c>
      <c r="AI26" s="142">
        <v>34557.444479999998</v>
      </c>
      <c r="AJ26" s="142">
        <v>35939.7422592</v>
      </c>
    </row>
    <row r="27" spans="1:36" s="142" customFormat="1" ht="72" customHeight="1">
      <c r="A27" s="267" t="s">
        <v>10</v>
      </c>
      <c r="B27" s="267" t="s">
        <v>111</v>
      </c>
      <c r="C27" s="267" t="s">
        <v>16</v>
      </c>
      <c r="D27" s="266"/>
      <c r="E27" s="274" t="s">
        <v>672</v>
      </c>
      <c r="F27" s="274" t="s">
        <v>669</v>
      </c>
      <c r="G27" s="274" t="s">
        <v>670</v>
      </c>
      <c r="H27" s="203"/>
      <c r="I27" s="203"/>
      <c r="J27" s="203">
        <v>60</v>
      </c>
      <c r="K27" s="203">
        <v>62</v>
      </c>
      <c r="L27" s="203">
        <v>62</v>
      </c>
      <c r="M27" s="203">
        <v>62</v>
      </c>
      <c r="N27" s="203">
        <v>62</v>
      </c>
      <c r="O27" s="203">
        <v>62</v>
      </c>
      <c r="P27" s="203">
        <v>62</v>
      </c>
      <c r="Q27" s="203">
        <v>62</v>
      </c>
      <c r="R27" s="203"/>
      <c r="S27" s="285"/>
      <c r="T27" s="285">
        <v>43.6</v>
      </c>
      <c r="U27" s="285">
        <v>50.16961014723163</v>
      </c>
      <c r="V27" s="285">
        <v>30.09074704499896</v>
      </c>
      <c r="W27" s="285">
        <v>30.09074704499896</v>
      </c>
      <c r="X27" s="285">
        <v>30.09074704499896</v>
      </c>
      <c r="Y27" s="285">
        <v>31.294376926798918</v>
      </c>
      <c r="Z27" s="285">
        <v>32.546152003870873</v>
      </c>
      <c r="AA27" s="285">
        <v>33.847998084025711</v>
      </c>
      <c r="AB27" s="142">
        <f>T27/AC24</f>
        <v>9.4179857606967578E-4</v>
      </c>
      <c r="AD27" s="142">
        <v>53270</v>
      </c>
      <c r="AE27" s="142">
        <v>31950.3</v>
      </c>
      <c r="AF27" s="142">
        <v>31950.3</v>
      </c>
      <c r="AG27" s="142">
        <v>31950.3</v>
      </c>
      <c r="AH27" s="142">
        <v>33228.311999999998</v>
      </c>
      <c r="AI27" s="142">
        <v>34557.444479999998</v>
      </c>
      <c r="AJ27" s="142">
        <v>35939.7422592</v>
      </c>
    </row>
    <row r="28" spans="1:36" s="142" customFormat="1" ht="100.5" customHeight="1">
      <c r="A28" s="267" t="s">
        <v>10</v>
      </c>
      <c r="B28" s="267" t="s">
        <v>111</v>
      </c>
      <c r="C28" s="267" t="s">
        <v>18</v>
      </c>
      <c r="D28" s="266"/>
      <c r="E28" s="274" t="s">
        <v>673</v>
      </c>
      <c r="F28" s="274" t="s">
        <v>674</v>
      </c>
      <c r="G28" s="274" t="s">
        <v>675</v>
      </c>
      <c r="H28" s="203"/>
      <c r="I28" s="203">
        <v>144</v>
      </c>
      <c r="J28" s="203">
        <v>144</v>
      </c>
      <c r="K28" s="203">
        <v>144</v>
      </c>
      <c r="L28" s="203">
        <v>144</v>
      </c>
      <c r="M28" s="203">
        <v>144</v>
      </c>
      <c r="N28" s="203">
        <v>144</v>
      </c>
      <c r="O28" s="203">
        <v>144</v>
      </c>
      <c r="P28" s="203">
        <v>144</v>
      </c>
      <c r="Q28" s="203">
        <v>144</v>
      </c>
      <c r="R28" s="203"/>
      <c r="S28" s="285"/>
      <c r="T28" s="285">
        <v>1123.4000000000001</v>
      </c>
      <c r="U28" s="285">
        <v>1746.6566343661977</v>
      </c>
      <c r="V28" s="285">
        <v>1624.5321339666837</v>
      </c>
      <c r="W28" s="285">
        <v>1589.6166971167252</v>
      </c>
      <c r="X28" s="285">
        <v>1589.6166971167252</v>
      </c>
      <c r="Y28" s="285">
        <v>1653.2013650013944</v>
      </c>
      <c r="Z28" s="285">
        <v>1719.3294196014501</v>
      </c>
      <c r="AA28" s="285">
        <v>1788.1025963855084</v>
      </c>
      <c r="AB28" s="142">
        <f>T28/AC28</f>
        <v>1.1669636880456964E-3</v>
      </c>
      <c r="AC28" s="142">
        <f>T28+T29+T30+T31+T32+T33</f>
        <v>962669.2</v>
      </c>
      <c r="AD28" s="286">
        <v>1496753.2</v>
      </c>
      <c r="AE28" s="286">
        <v>1392101.7</v>
      </c>
      <c r="AF28" s="286">
        <v>1362181.8</v>
      </c>
      <c r="AG28" s="286">
        <v>1362181.8</v>
      </c>
      <c r="AH28" s="286">
        <v>1416669.0720000002</v>
      </c>
      <c r="AI28" s="286">
        <v>1473335.8348800002</v>
      </c>
      <c r="AJ28" s="286">
        <v>1532269.2682752004</v>
      </c>
    </row>
    <row r="29" spans="1:36" s="142" customFormat="1" ht="83.25" customHeight="1">
      <c r="A29" s="267" t="s">
        <v>10</v>
      </c>
      <c r="B29" s="267" t="s">
        <v>111</v>
      </c>
      <c r="C29" s="267" t="s">
        <v>18</v>
      </c>
      <c r="D29" s="266"/>
      <c r="E29" s="274" t="s">
        <v>676</v>
      </c>
      <c r="F29" s="274" t="s">
        <v>660</v>
      </c>
      <c r="G29" s="274" t="s">
        <v>661</v>
      </c>
      <c r="H29" s="203"/>
      <c r="I29" s="203">
        <v>1300</v>
      </c>
      <c r="J29" s="203">
        <v>1820</v>
      </c>
      <c r="K29" s="203">
        <v>1600</v>
      </c>
      <c r="L29" s="203">
        <v>1600</v>
      </c>
      <c r="M29" s="203">
        <v>1600</v>
      </c>
      <c r="N29" s="203">
        <v>1600</v>
      </c>
      <c r="O29" s="203">
        <v>1600</v>
      </c>
      <c r="P29" s="203">
        <v>1600</v>
      </c>
      <c r="Q29" s="203">
        <v>1600</v>
      </c>
      <c r="R29" s="203"/>
      <c r="S29" s="285"/>
      <c r="T29" s="285">
        <v>14199</v>
      </c>
      <c r="U29" s="285">
        <v>22076.53333751615</v>
      </c>
      <c r="V29" s="285">
        <v>20532.964011209668</v>
      </c>
      <c r="W29" s="285">
        <v>20091.657007620066</v>
      </c>
      <c r="X29" s="285">
        <v>20091.657007620066</v>
      </c>
      <c r="Y29" s="285">
        <v>20895.323287924868</v>
      </c>
      <c r="Z29" s="285">
        <v>21731.136219441865</v>
      </c>
      <c r="AA29" s="285">
        <v>22600.381668219543</v>
      </c>
      <c r="AB29" s="142">
        <f t="shared" ref="AB29:AB33" si="3">T29/AC29</f>
        <v>1.4749614924836072E-2</v>
      </c>
      <c r="AC29" s="142">
        <v>962669.2</v>
      </c>
      <c r="AD29" s="142">
        <v>1496753.2</v>
      </c>
      <c r="AE29" s="142">
        <v>1392101.7</v>
      </c>
      <c r="AF29" s="142">
        <v>1362181.8</v>
      </c>
      <c r="AG29" s="142">
        <v>1362181.8</v>
      </c>
      <c r="AH29" s="142">
        <v>1416669.0720000002</v>
      </c>
      <c r="AI29" s="142">
        <v>1473335.8348800002</v>
      </c>
      <c r="AJ29" s="142">
        <v>1532269.2682752004</v>
      </c>
    </row>
    <row r="30" spans="1:36" s="142" customFormat="1" ht="25.5">
      <c r="A30" s="267" t="s">
        <v>10</v>
      </c>
      <c r="B30" s="267" t="s">
        <v>111</v>
      </c>
      <c r="C30" s="267" t="s">
        <v>18</v>
      </c>
      <c r="D30" s="266"/>
      <c r="E30" s="274" t="s">
        <v>677</v>
      </c>
      <c r="F30" s="274" t="s">
        <v>678</v>
      </c>
      <c r="G30" s="274" t="s">
        <v>670</v>
      </c>
      <c r="H30" s="203"/>
      <c r="I30" s="203"/>
      <c r="J30" s="203">
        <v>1420</v>
      </c>
      <c r="K30" s="203">
        <v>1422</v>
      </c>
      <c r="L30" s="203">
        <v>1422</v>
      </c>
      <c r="M30" s="203">
        <v>1422</v>
      </c>
      <c r="N30" s="203">
        <v>1422</v>
      </c>
      <c r="O30" s="203">
        <v>1422</v>
      </c>
      <c r="P30" s="203">
        <v>1422</v>
      </c>
      <c r="Q30" s="203">
        <v>1422</v>
      </c>
      <c r="R30" s="203"/>
      <c r="S30" s="285"/>
      <c r="T30" s="285">
        <v>23432.9</v>
      </c>
      <c r="U30" s="285">
        <v>36433.354323873667</v>
      </c>
      <c r="V30" s="285">
        <v>33885.970306238116</v>
      </c>
      <c r="W30" s="285">
        <v>33157.6723356476</v>
      </c>
      <c r="X30" s="285">
        <v>33157.6723356476</v>
      </c>
      <c r="Y30" s="285">
        <v>34483.979229073506</v>
      </c>
      <c r="Z30" s="285">
        <v>35863.338398236447</v>
      </c>
      <c r="AA30" s="285">
        <v>37297.871934165909</v>
      </c>
      <c r="AB30" s="142">
        <f t="shared" si="3"/>
        <v>2.4341591067835143E-2</v>
      </c>
      <c r="AC30" s="142">
        <v>962669.2</v>
      </c>
      <c r="AD30" s="142">
        <v>1496753.2</v>
      </c>
      <c r="AE30" s="142">
        <v>1392101.7</v>
      </c>
      <c r="AF30" s="142">
        <v>1362181.8</v>
      </c>
      <c r="AG30" s="142">
        <v>1362181.8</v>
      </c>
      <c r="AH30" s="142">
        <v>1416669.0720000002</v>
      </c>
      <c r="AI30" s="142">
        <v>1473335.8348800002</v>
      </c>
      <c r="AJ30" s="142">
        <v>1532269.2682752004</v>
      </c>
    </row>
    <row r="31" spans="1:36" s="142" customFormat="1" ht="259.5" customHeight="1">
      <c r="A31" s="267" t="s">
        <v>10</v>
      </c>
      <c r="B31" s="267" t="s">
        <v>111</v>
      </c>
      <c r="C31" s="267" t="s">
        <v>18</v>
      </c>
      <c r="D31" s="132"/>
      <c r="E31" s="287" t="s">
        <v>679</v>
      </c>
      <c r="F31" s="274" t="s">
        <v>678</v>
      </c>
      <c r="G31" s="274" t="s">
        <v>664</v>
      </c>
      <c r="H31" s="203"/>
      <c r="I31" s="203">
        <v>5859</v>
      </c>
      <c r="J31" s="203">
        <f>[4]Table1!$S$9</f>
        <v>9508</v>
      </c>
      <c r="K31" s="203">
        <v>6167</v>
      </c>
      <c r="L31" s="203">
        <v>6167</v>
      </c>
      <c r="M31" s="203">
        <v>6167</v>
      </c>
      <c r="N31" s="203">
        <v>6167</v>
      </c>
      <c r="O31" s="203">
        <v>6167</v>
      </c>
      <c r="P31" s="203">
        <v>6167</v>
      </c>
      <c r="Q31" s="203">
        <v>6167</v>
      </c>
      <c r="R31" s="203"/>
      <c r="S31" s="285">
        <v>107915.7</v>
      </c>
      <c r="T31" s="138">
        <v>156901</v>
      </c>
      <c r="U31" s="285">
        <v>243948.88070917816</v>
      </c>
      <c r="V31" s="285">
        <v>226892.21679856381</v>
      </c>
      <c r="W31" s="285">
        <v>222015.71069459789</v>
      </c>
      <c r="X31" s="285">
        <v>222015.71069459789</v>
      </c>
      <c r="Y31" s="285">
        <v>230896.33912238185</v>
      </c>
      <c r="Z31" s="285">
        <v>240132.1926872771</v>
      </c>
      <c r="AA31" s="285">
        <v>249737.48039476824</v>
      </c>
      <c r="AB31" s="142">
        <f t="shared" si="3"/>
        <v>0.16298537441521968</v>
      </c>
      <c r="AC31" s="142">
        <v>962669.2</v>
      </c>
      <c r="AD31" s="142">
        <v>1496753.2</v>
      </c>
      <c r="AE31" s="142">
        <v>1392101.7</v>
      </c>
      <c r="AF31" s="142">
        <v>1362181.8</v>
      </c>
      <c r="AG31" s="142">
        <v>1362181.8</v>
      </c>
      <c r="AH31" s="142">
        <v>1416669.0720000002</v>
      </c>
      <c r="AI31" s="142">
        <v>1473335.8348800002</v>
      </c>
      <c r="AJ31" s="142">
        <v>1532269.2682752004</v>
      </c>
    </row>
    <row r="32" spans="1:36" s="142" customFormat="1" ht="193.5" customHeight="1">
      <c r="A32" s="267" t="s">
        <v>10</v>
      </c>
      <c r="B32" s="267" t="s">
        <v>111</v>
      </c>
      <c r="C32" s="267" t="s">
        <v>18</v>
      </c>
      <c r="D32" s="132"/>
      <c r="E32" s="288" t="s">
        <v>680</v>
      </c>
      <c r="F32" s="274" t="s">
        <v>678</v>
      </c>
      <c r="G32" s="274" t="s">
        <v>664</v>
      </c>
      <c r="H32" s="203"/>
      <c r="I32" s="203">
        <v>25271</v>
      </c>
      <c r="J32" s="203">
        <f>[4]Table1!$T$9-J30</f>
        <v>25718</v>
      </c>
      <c r="K32" s="203">
        <v>28868</v>
      </c>
      <c r="L32" s="203">
        <v>28868</v>
      </c>
      <c r="M32" s="203">
        <v>28868</v>
      </c>
      <c r="N32" s="203">
        <v>28868</v>
      </c>
      <c r="O32" s="203">
        <v>28868</v>
      </c>
      <c r="P32" s="203">
        <v>28868</v>
      </c>
      <c r="Q32" s="203">
        <v>28868</v>
      </c>
      <c r="R32" s="203"/>
      <c r="S32" s="285">
        <v>465461.2</v>
      </c>
      <c r="T32" s="138">
        <v>424398.4</v>
      </c>
      <c r="U32" s="285">
        <v>659852.48439950089</v>
      </c>
      <c r="V32" s="285">
        <v>613716.2528075896</v>
      </c>
      <c r="W32" s="285">
        <v>600525.88825852133</v>
      </c>
      <c r="X32" s="285">
        <v>600525.88825852133</v>
      </c>
      <c r="Y32" s="285">
        <v>624546.92378886219</v>
      </c>
      <c r="Z32" s="285">
        <v>649528.80074041674</v>
      </c>
      <c r="AA32" s="285">
        <v>675509.95277003339</v>
      </c>
      <c r="AB32" s="142">
        <f t="shared" si="3"/>
        <v>0.44085590356479676</v>
      </c>
      <c r="AC32" s="142">
        <v>962669.2</v>
      </c>
      <c r="AD32" s="142">
        <v>1496753.2</v>
      </c>
      <c r="AE32" s="142">
        <v>1392101.7</v>
      </c>
      <c r="AF32" s="142">
        <v>1362181.8</v>
      </c>
      <c r="AG32" s="142">
        <v>1362181.8</v>
      </c>
      <c r="AH32" s="142">
        <v>1416669.0720000002</v>
      </c>
      <c r="AI32" s="142">
        <v>1473335.8348800002</v>
      </c>
      <c r="AJ32" s="142">
        <v>1532269.2682752004</v>
      </c>
    </row>
    <row r="33" spans="1:36" s="142" customFormat="1" ht="179.25" customHeight="1">
      <c r="A33" s="267" t="s">
        <v>10</v>
      </c>
      <c r="B33" s="267" t="s">
        <v>111</v>
      </c>
      <c r="C33" s="267" t="s">
        <v>18</v>
      </c>
      <c r="D33" s="132"/>
      <c r="E33" s="274" t="s">
        <v>681</v>
      </c>
      <c r="F33" s="274" t="s">
        <v>678</v>
      </c>
      <c r="G33" s="274" t="s">
        <v>664</v>
      </c>
      <c r="H33" s="203"/>
      <c r="I33" s="203">
        <v>20803</v>
      </c>
      <c r="J33" s="203">
        <f>[4]Table1!$U$9</f>
        <v>20762</v>
      </c>
      <c r="K33" s="203">
        <f>21521-K30</f>
        <v>20099</v>
      </c>
      <c r="L33" s="203">
        <f t="shared" ref="L33:Q33" si="4">21521-L30</f>
        <v>20099</v>
      </c>
      <c r="M33" s="203">
        <f t="shared" si="4"/>
        <v>20099</v>
      </c>
      <c r="N33" s="203">
        <f t="shared" si="4"/>
        <v>20099</v>
      </c>
      <c r="O33" s="203">
        <f t="shared" si="4"/>
        <v>20099</v>
      </c>
      <c r="P33" s="203">
        <f t="shared" si="4"/>
        <v>20099</v>
      </c>
      <c r="Q33" s="203">
        <f t="shared" si="4"/>
        <v>20099</v>
      </c>
      <c r="R33" s="203"/>
      <c r="S33" s="285">
        <v>383166</v>
      </c>
      <c r="T33" s="138">
        <v>342614.5</v>
      </c>
      <c r="U33" s="285">
        <v>532695.29059556487</v>
      </c>
      <c r="V33" s="285">
        <v>495449.76394243212</v>
      </c>
      <c r="W33" s="285">
        <v>484801.25500649656</v>
      </c>
      <c r="X33" s="285">
        <v>484801.25500649656</v>
      </c>
      <c r="Y33" s="285">
        <v>504193.30520675646</v>
      </c>
      <c r="Z33" s="285">
        <v>524361.03741502669</v>
      </c>
      <c r="AA33" s="285">
        <v>545335.4789116279</v>
      </c>
      <c r="AB33" s="142">
        <f t="shared" si="3"/>
        <v>0.35590055233926671</v>
      </c>
      <c r="AC33" s="142">
        <v>962669.2</v>
      </c>
      <c r="AD33" s="142">
        <v>1496753.2</v>
      </c>
      <c r="AE33" s="142">
        <v>1392101.7</v>
      </c>
      <c r="AF33" s="142">
        <v>1362181.8</v>
      </c>
      <c r="AG33" s="142">
        <v>1362181.8</v>
      </c>
      <c r="AH33" s="142">
        <v>1416669.0720000002</v>
      </c>
      <c r="AI33" s="142">
        <v>1473335.8348800002</v>
      </c>
      <c r="AJ33" s="142">
        <v>1532269.2682752004</v>
      </c>
    </row>
    <row r="34" spans="1:36" s="92" customFormat="1" ht="12.75" hidden="1">
      <c r="A34" s="95"/>
      <c r="B34" s="95"/>
      <c r="C34" s="95"/>
      <c r="D34" s="128"/>
      <c r="E34" s="129" t="s">
        <v>682</v>
      </c>
      <c r="F34" s="130" t="s">
        <v>683</v>
      </c>
      <c r="G34" s="131" t="s">
        <v>664</v>
      </c>
      <c r="H34" s="132"/>
      <c r="I34" s="132">
        <v>995</v>
      </c>
      <c r="J34" s="132"/>
      <c r="K34" s="132"/>
      <c r="L34" s="132"/>
      <c r="M34" s="132"/>
      <c r="N34" s="132"/>
      <c r="O34" s="132"/>
      <c r="P34" s="132"/>
      <c r="Q34" s="132"/>
      <c r="R34" s="164"/>
      <c r="S34" s="164">
        <v>9168.2999999999993</v>
      </c>
      <c r="U34" s="167"/>
      <c r="V34" s="167"/>
      <c r="W34" s="167"/>
      <c r="X34" s="167"/>
      <c r="Y34" s="132"/>
      <c r="Z34" s="132"/>
      <c r="AA34" s="132"/>
    </row>
    <row r="35" spans="1:36" s="92" customFormat="1" ht="127.5" hidden="1">
      <c r="A35" s="95"/>
      <c r="B35" s="95"/>
      <c r="C35" s="95"/>
      <c r="D35" s="104"/>
      <c r="E35" s="105" t="s">
        <v>684</v>
      </c>
      <c r="F35" s="97" t="s">
        <v>685</v>
      </c>
      <c r="G35" s="97" t="s">
        <v>664</v>
      </c>
      <c r="H35" s="123"/>
      <c r="I35" s="123">
        <v>35</v>
      </c>
      <c r="J35" s="123"/>
      <c r="K35" s="123"/>
      <c r="L35" s="162"/>
      <c r="M35" s="162"/>
      <c r="N35" s="162"/>
      <c r="O35" s="162"/>
      <c r="P35" s="162"/>
      <c r="Q35" s="162"/>
      <c r="R35" s="161"/>
      <c r="S35" s="161">
        <v>10777.9</v>
      </c>
      <c r="U35" s="126"/>
      <c r="V35" s="126"/>
      <c r="W35" s="126"/>
      <c r="X35" s="126"/>
      <c r="Y35" s="123"/>
      <c r="Z35" s="123"/>
      <c r="AA35" s="123"/>
    </row>
    <row r="36" spans="1:36" s="92" customFormat="1" ht="140.25" hidden="1">
      <c r="A36" s="95"/>
      <c r="B36" s="95"/>
      <c r="C36" s="95"/>
      <c r="D36" s="104"/>
      <c r="E36" s="105" t="s">
        <v>686</v>
      </c>
      <c r="F36" s="97" t="s">
        <v>685</v>
      </c>
      <c r="G36" s="97" t="s">
        <v>664</v>
      </c>
      <c r="H36" s="123"/>
      <c r="I36" s="123">
        <v>19</v>
      </c>
      <c r="J36" s="123"/>
      <c r="K36" s="123"/>
      <c r="L36" s="123"/>
      <c r="M36" s="123"/>
      <c r="N36" s="123"/>
      <c r="O36" s="123"/>
      <c r="P36" s="123"/>
      <c r="Q36" s="123"/>
      <c r="R36" s="127"/>
      <c r="S36" s="127">
        <f>308.3524*19</f>
        <v>5858.6956</v>
      </c>
      <c r="T36" s="127"/>
      <c r="U36" s="126"/>
      <c r="V36" s="126"/>
      <c r="W36" s="126"/>
      <c r="X36" s="126"/>
      <c r="Y36" s="123"/>
      <c r="Z36" s="123"/>
      <c r="AA36" s="123"/>
    </row>
    <row r="37" spans="1:36" s="92" customFormat="1" ht="127.5" hidden="1">
      <c r="A37" s="95"/>
      <c r="B37" s="95"/>
      <c r="C37" s="95"/>
      <c r="D37" s="104"/>
      <c r="E37" s="105" t="s">
        <v>687</v>
      </c>
      <c r="F37" s="97" t="s">
        <v>685</v>
      </c>
      <c r="G37" s="97" t="s">
        <v>664</v>
      </c>
      <c r="H37" s="123"/>
      <c r="I37" s="123">
        <v>28</v>
      </c>
      <c r="J37" s="123"/>
      <c r="K37" s="123"/>
      <c r="L37" s="123"/>
      <c r="M37" s="123"/>
      <c r="N37" s="123"/>
      <c r="O37" s="123"/>
      <c r="P37" s="123"/>
      <c r="Q37" s="123"/>
      <c r="R37" s="127"/>
      <c r="S37" s="127">
        <f>28*308.3524</f>
        <v>8633.8672000000006</v>
      </c>
      <c r="T37" s="127"/>
      <c r="U37" s="126"/>
      <c r="V37" s="126"/>
      <c r="W37" s="126"/>
      <c r="X37" s="126"/>
      <c r="Y37" s="123"/>
      <c r="Z37" s="123"/>
      <c r="AA37" s="123"/>
    </row>
    <row r="38" spans="1:36" s="92" customFormat="1" ht="127.5" hidden="1">
      <c r="A38" s="95"/>
      <c r="B38" s="95"/>
      <c r="C38" s="95"/>
      <c r="D38" s="104"/>
      <c r="E38" s="105" t="s">
        <v>688</v>
      </c>
      <c r="F38" s="97" t="s">
        <v>685</v>
      </c>
      <c r="G38" s="97" t="s">
        <v>664</v>
      </c>
      <c r="H38" s="123"/>
      <c r="I38" s="123">
        <v>30</v>
      </c>
      <c r="J38" s="123"/>
      <c r="K38" s="123"/>
      <c r="L38" s="123"/>
      <c r="M38" s="123"/>
      <c r="N38" s="123"/>
      <c r="O38" s="123"/>
      <c r="P38" s="123"/>
      <c r="Q38" s="123"/>
      <c r="R38" s="127"/>
      <c r="S38" s="127">
        <f>30*308.83524</f>
        <v>9265.0571999999993</v>
      </c>
      <c r="T38" s="127"/>
      <c r="U38" s="126"/>
      <c r="V38" s="126"/>
      <c r="W38" s="126"/>
      <c r="X38" s="126"/>
      <c r="Y38" s="123"/>
      <c r="Z38" s="123"/>
      <c r="AA38" s="123"/>
    </row>
    <row r="39" spans="1:36" s="92" customFormat="1" ht="89.25" hidden="1">
      <c r="A39" s="95"/>
      <c r="B39" s="95"/>
      <c r="C39" s="95"/>
      <c r="D39" s="104"/>
      <c r="E39" s="105" t="s">
        <v>665</v>
      </c>
      <c r="F39" s="97" t="s">
        <v>685</v>
      </c>
      <c r="G39" s="97" t="s">
        <v>664</v>
      </c>
      <c r="H39" s="123"/>
      <c r="I39" s="123">
        <v>33</v>
      </c>
      <c r="J39" s="123"/>
      <c r="K39" s="123"/>
      <c r="L39" s="123"/>
      <c r="M39" s="123"/>
      <c r="N39" s="123"/>
      <c r="O39" s="123"/>
      <c r="P39" s="123"/>
      <c r="Q39" s="123"/>
      <c r="R39" s="127"/>
      <c r="S39" s="127">
        <f>33*308.3524</f>
        <v>10175.629199999999</v>
      </c>
      <c r="T39" s="127"/>
      <c r="U39" s="126"/>
      <c r="V39" s="126"/>
      <c r="W39" s="126"/>
      <c r="X39" s="126"/>
      <c r="Y39" s="123"/>
      <c r="Z39" s="123"/>
      <c r="AA39" s="123"/>
    </row>
    <row r="40" spans="1:36" s="92" customFormat="1" ht="51" hidden="1" customHeight="1">
      <c r="A40" s="95"/>
      <c r="B40" s="95"/>
      <c r="C40" s="95"/>
      <c r="D40" s="104"/>
      <c r="E40" s="97" t="s">
        <v>689</v>
      </c>
      <c r="F40" s="97" t="s">
        <v>690</v>
      </c>
      <c r="G40" s="97" t="s">
        <v>691</v>
      </c>
      <c r="H40" s="123"/>
      <c r="I40" s="123">
        <v>12</v>
      </c>
      <c r="J40" s="123"/>
      <c r="K40" s="123"/>
      <c r="L40" s="123"/>
      <c r="M40" s="123"/>
      <c r="N40" s="123"/>
      <c r="O40" s="123"/>
      <c r="P40" s="123"/>
      <c r="Q40" s="123"/>
      <c r="R40" s="127"/>
      <c r="S40" s="127">
        <f>18.418788*12</f>
        <v>221.02545599999999</v>
      </c>
      <c r="T40" s="127"/>
      <c r="U40" s="126"/>
      <c r="V40" s="126"/>
      <c r="W40" s="126"/>
      <c r="X40" s="126"/>
      <c r="Y40" s="123"/>
      <c r="Z40" s="123"/>
      <c r="AA40" s="123"/>
    </row>
    <row r="41" spans="1:36" s="92" customFormat="1" ht="63.75" hidden="1">
      <c r="A41" s="95"/>
      <c r="B41" s="95"/>
      <c r="C41" s="95"/>
      <c r="D41" s="104"/>
      <c r="E41" s="97" t="s">
        <v>692</v>
      </c>
      <c r="F41" s="97" t="s">
        <v>690</v>
      </c>
      <c r="G41" s="97" t="s">
        <v>691</v>
      </c>
      <c r="H41" s="123"/>
      <c r="I41" s="123">
        <v>18</v>
      </c>
      <c r="J41" s="123"/>
      <c r="K41" s="123"/>
      <c r="L41" s="123"/>
      <c r="M41" s="123"/>
      <c r="N41" s="123"/>
      <c r="O41" s="123"/>
      <c r="P41" s="123"/>
      <c r="Q41" s="123"/>
      <c r="R41" s="127"/>
      <c r="S41" s="127">
        <f>18.418788*18</f>
        <v>331.538184</v>
      </c>
      <c r="T41" s="127"/>
      <c r="U41" s="126"/>
      <c r="V41" s="126"/>
      <c r="W41" s="126"/>
      <c r="X41" s="126"/>
      <c r="Y41" s="123"/>
      <c r="Z41" s="123"/>
      <c r="AA41" s="123"/>
    </row>
    <row r="42" spans="1:36" s="92" customFormat="1" ht="51" hidden="1">
      <c r="A42" s="95"/>
      <c r="B42" s="95"/>
      <c r="C42" s="95"/>
      <c r="D42" s="104"/>
      <c r="E42" s="97" t="s">
        <v>693</v>
      </c>
      <c r="F42" s="97" t="s">
        <v>690</v>
      </c>
      <c r="G42" s="97" t="s">
        <v>691</v>
      </c>
      <c r="H42" s="123"/>
      <c r="I42" s="123">
        <v>8</v>
      </c>
      <c r="J42" s="123"/>
      <c r="K42" s="123"/>
      <c r="L42" s="123"/>
      <c r="M42" s="123"/>
      <c r="N42" s="123"/>
      <c r="O42" s="123"/>
      <c r="P42" s="123"/>
      <c r="Q42" s="123"/>
      <c r="R42" s="127"/>
      <c r="S42" s="127">
        <f>8*18.418788</f>
        <v>147.35030399999999</v>
      </c>
      <c r="T42" s="127"/>
      <c r="U42" s="126"/>
      <c r="V42" s="126"/>
      <c r="W42" s="126"/>
      <c r="X42" s="126"/>
      <c r="Y42" s="123"/>
      <c r="Z42" s="123"/>
      <c r="AA42" s="123"/>
    </row>
    <row r="43" spans="1:36" s="92" customFormat="1" ht="51" hidden="1">
      <c r="A43" s="95"/>
      <c r="B43" s="95"/>
      <c r="C43" s="95"/>
      <c r="D43" s="104"/>
      <c r="E43" s="97" t="s">
        <v>694</v>
      </c>
      <c r="F43" s="97" t="s">
        <v>690</v>
      </c>
      <c r="G43" s="97" t="s">
        <v>691</v>
      </c>
      <c r="H43" s="123"/>
      <c r="I43" s="123">
        <v>8</v>
      </c>
      <c r="J43" s="123"/>
      <c r="K43" s="123"/>
      <c r="L43" s="123"/>
      <c r="M43" s="123"/>
      <c r="N43" s="123"/>
      <c r="O43" s="123"/>
      <c r="P43" s="123"/>
      <c r="Q43" s="123"/>
      <c r="R43" s="127"/>
      <c r="S43" s="127">
        <f>18.418788*8</f>
        <v>147.35030399999999</v>
      </c>
      <c r="T43" s="127"/>
      <c r="U43" s="126"/>
      <c r="V43" s="126"/>
      <c r="W43" s="126"/>
      <c r="X43" s="126"/>
      <c r="Y43" s="123"/>
      <c r="Z43" s="123"/>
      <c r="AA43" s="123"/>
    </row>
    <row r="44" spans="1:36" s="92" customFormat="1" ht="51" hidden="1">
      <c r="A44" s="95"/>
      <c r="B44" s="95"/>
      <c r="C44" s="95"/>
      <c r="D44" s="96"/>
      <c r="E44" s="133" t="s">
        <v>695</v>
      </c>
      <c r="F44" s="97" t="s">
        <v>696</v>
      </c>
      <c r="G44" s="134" t="s">
        <v>664</v>
      </c>
      <c r="H44" s="135">
        <v>575</v>
      </c>
      <c r="I44" s="136"/>
      <c r="J44" s="136"/>
      <c r="K44" s="136"/>
      <c r="L44" s="136"/>
      <c r="M44" s="136"/>
      <c r="N44" s="136"/>
      <c r="O44" s="136"/>
      <c r="P44" s="136"/>
      <c r="Q44" s="136"/>
      <c r="R44" s="166">
        <f>'[2]ресурсн обеспечен'!L96</f>
        <v>7849.5</v>
      </c>
      <c r="S44" s="166"/>
      <c r="T44" s="166"/>
      <c r="U44" s="137"/>
      <c r="V44" s="137"/>
      <c r="W44" s="137"/>
      <c r="X44" s="137"/>
      <c r="Y44" s="136"/>
      <c r="Z44" s="136"/>
      <c r="AA44" s="136"/>
    </row>
    <row r="45" spans="1:36" s="92" customFormat="1" ht="38.25" hidden="1">
      <c r="A45" s="95"/>
      <c r="B45" s="95"/>
      <c r="C45" s="95"/>
      <c r="D45" s="95"/>
      <c r="E45" s="100" t="s">
        <v>697</v>
      </c>
      <c r="F45" s="97" t="s">
        <v>698</v>
      </c>
      <c r="G45" s="134" t="s">
        <v>664</v>
      </c>
      <c r="H45" s="135">
        <v>2386</v>
      </c>
      <c r="I45" s="138"/>
      <c r="J45" s="138"/>
      <c r="K45" s="138"/>
      <c r="L45" s="138"/>
      <c r="M45" s="138"/>
      <c r="N45" s="138"/>
      <c r="O45" s="138"/>
      <c r="P45" s="138"/>
      <c r="Q45" s="138"/>
      <c r="R45" s="166">
        <f>'[2]ресурсн обеспечен'!L169</f>
        <v>145145.5</v>
      </c>
      <c r="S45" s="166"/>
      <c r="T45" s="166"/>
      <c r="U45" s="137"/>
      <c r="V45" s="137"/>
      <c r="W45" s="137"/>
      <c r="X45" s="137"/>
      <c r="Y45" s="138"/>
      <c r="Z45" s="138"/>
      <c r="AA45" s="138"/>
    </row>
    <row r="46" spans="1:36" s="92" customFormat="1" ht="51" hidden="1">
      <c r="A46" s="95"/>
      <c r="B46" s="95"/>
      <c r="C46" s="95"/>
      <c r="D46" s="95"/>
      <c r="E46" s="100" t="s">
        <v>699</v>
      </c>
      <c r="F46" s="97" t="s">
        <v>700</v>
      </c>
      <c r="G46" s="139" t="s">
        <v>664</v>
      </c>
      <c r="H46" s="135">
        <v>1488</v>
      </c>
      <c r="I46" s="138"/>
      <c r="J46" s="138"/>
      <c r="K46" s="138"/>
      <c r="L46" s="138"/>
      <c r="M46" s="138"/>
      <c r="N46" s="138"/>
      <c r="O46" s="138"/>
      <c r="P46" s="138"/>
      <c r="Q46" s="138"/>
      <c r="R46" s="166">
        <f>'[2]ресурсн обеспечен'!L170</f>
        <v>44415</v>
      </c>
      <c r="S46" s="166"/>
      <c r="T46" s="166"/>
      <c r="U46" s="137"/>
      <c r="V46" s="137"/>
      <c r="W46" s="137"/>
      <c r="X46" s="137"/>
      <c r="Y46" s="138"/>
      <c r="Z46" s="138"/>
      <c r="AA46" s="138"/>
    </row>
    <row r="47" spans="1:36" s="92" customFormat="1" ht="38.25" hidden="1">
      <c r="A47" s="95"/>
      <c r="B47" s="95"/>
      <c r="C47" s="95"/>
      <c r="D47" s="95"/>
      <c r="E47" s="100" t="s">
        <v>701</v>
      </c>
      <c r="F47" s="97" t="s">
        <v>702</v>
      </c>
      <c r="G47" s="139" t="s">
        <v>664</v>
      </c>
      <c r="H47" s="140">
        <v>362</v>
      </c>
      <c r="I47" s="141"/>
      <c r="J47" s="141"/>
      <c r="K47" s="141"/>
      <c r="L47" s="141"/>
      <c r="M47" s="141"/>
      <c r="N47" s="141"/>
      <c r="O47" s="141"/>
      <c r="P47" s="141"/>
      <c r="Q47" s="141"/>
      <c r="R47" s="166">
        <f>'[2]ресурсн обеспечен'!L172</f>
        <v>58967.1</v>
      </c>
      <c r="S47" s="166"/>
      <c r="T47" s="166"/>
      <c r="U47" s="137"/>
      <c r="V47" s="137"/>
      <c r="W47" s="137"/>
      <c r="X47" s="137"/>
      <c r="Y47" s="141"/>
      <c r="Z47" s="141"/>
      <c r="AA47" s="141"/>
    </row>
    <row r="48" spans="1:36" s="92" customFormat="1" ht="38.25" hidden="1">
      <c r="A48" s="95"/>
      <c r="B48" s="95"/>
      <c r="C48" s="95"/>
      <c r="D48" s="95"/>
      <c r="E48" s="100" t="s">
        <v>703</v>
      </c>
      <c r="F48" s="97" t="s">
        <v>702</v>
      </c>
      <c r="G48" s="139" t="s">
        <v>664</v>
      </c>
      <c r="H48" s="135">
        <v>2534</v>
      </c>
      <c r="I48" s="138"/>
      <c r="J48" s="138"/>
      <c r="K48" s="138"/>
      <c r="L48" s="138"/>
      <c r="M48" s="138"/>
      <c r="N48" s="138"/>
      <c r="O48" s="138"/>
      <c r="P48" s="138"/>
      <c r="Q48" s="138"/>
      <c r="R48" s="166">
        <f>'[2]ресурсн обеспечен'!L173</f>
        <v>370261.6</v>
      </c>
      <c r="S48" s="166"/>
      <c r="T48" s="166"/>
      <c r="U48" s="137"/>
      <c r="V48" s="137"/>
      <c r="W48" s="137"/>
      <c r="X48" s="137"/>
      <c r="Y48" s="138"/>
      <c r="Z48" s="138"/>
      <c r="AA48" s="138"/>
    </row>
    <row r="49" spans="1:27" s="92" customFormat="1" ht="51" hidden="1">
      <c r="A49" s="95"/>
      <c r="B49" s="95"/>
      <c r="C49" s="95"/>
      <c r="D49" s="95"/>
      <c r="E49" s="100" t="s">
        <v>704</v>
      </c>
      <c r="F49" s="97" t="s">
        <v>705</v>
      </c>
      <c r="G49" s="139" t="s">
        <v>664</v>
      </c>
      <c r="H49" s="135">
        <v>352</v>
      </c>
      <c r="I49" s="136"/>
      <c r="J49" s="136"/>
      <c r="K49" s="136"/>
      <c r="L49" s="136"/>
      <c r="M49" s="136"/>
      <c r="N49" s="136"/>
      <c r="O49" s="136"/>
      <c r="P49" s="136"/>
      <c r="Q49" s="136"/>
      <c r="R49" s="166">
        <f>'[2]ресурсн обеспечен'!L174</f>
        <v>122834</v>
      </c>
      <c r="S49" s="166"/>
      <c r="T49" s="166"/>
      <c r="U49" s="137"/>
      <c r="V49" s="137"/>
      <c r="W49" s="137"/>
      <c r="X49" s="137"/>
      <c r="Y49" s="136"/>
      <c r="Z49" s="136"/>
      <c r="AA49" s="136"/>
    </row>
    <row r="50" spans="1:27" s="92" customFormat="1" ht="76.5" hidden="1">
      <c r="A50" s="438"/>
      <c r="B50" s="438"/>
      <c r="C50" s="438"/>
      <c r="D50" s="438"/>
      <c r="E50" s="433" t="s">
        <v>706</v>
      </c>
      <c r="F50" s="97" t="s">
        <v>707</v>
      </c>
      <c r="G50" s="139" t="s">
        <v>664</v>
      </c>
      <c r="H50" s="135">
        <v>40</v>
      </c>
      <c r="I50" s="136"/>
      <c r="J50" s="136"/>
      <c r="K50" s="136"/>
      <c r="L50" s="136"/>
      <c r="M50" s="136"/>
      <c r="N50" s="136"/>
      <c r="O50" s="136"/>
      <c r="P50" s="136"/>
      <c r="Q50" s="136"/>
      <c r="R50" s="427">
        <f>'[2]ресурсн обеспечен'!L175</f>
        <v>40711.699999999997</v>
      </c>
      <c r="S50" s="427"/>
      <c r="T50" s="427"/>
      <c r="U50" s="430"/>
      <c r="V50" s="430"/>
      <c r="W50" s="430"/>
      <c r="X50" s="430"/>
      <c r="Y50" s="136"/>
      <c r="Z50" s="136"/>
      <c r="AA50" s="136"/>
    </row>
    <row r="51" spans="1:27" s="92" customFormat="1" ht="63.75" hidden="1">
      <c r="A51" s="439"/>
      <c r="B51" s="439"/>
      <c r="C51" s="439"/>
      <c r="D51" s="439"/>
      <c r="E51" s="434"/>
      <c r="F51" s="97" t="s">
        <v>708</v>
      </c>
      <c r="G51" s="139" t="s">
        <v>664</v>
      </c>
      <c r="H51" s="135">
        <v>150</v>
      </c>
      <c r="I51" s="136"/>
      <c r="J51" s="136"/>
      <c r="K51" s="136"/>
      <c r="L51" s="136"/>
      <c r="M51" s="136"/>
      <c r="N51" s="136"/>
      <c r="O51" s="136"/>
      <c r="P51" s="136"/>
      <c r="Q51" s="136"/>
      <c r="R51" s="436"/>
      <c r="S51" s="428"/>
      <c r="T51" s="428"/>
      <c r="U51" s="431"/>
      <c r="V51" s="431"/>
      <c r="W51" s="431"/>
      <c r="X51" s="431"/>
      <c r="Y51" s="136"/>
      <c r="Z51" s="136"/>
      <c r="AA51" s="136"/>
    </row>
    <row r="52" spans="1:27" s="92" customFormat="1" ht="76.5" hidden="1">
      <c r="A52" s="440"/>
      <c r="B52" s="440"/>
      <c r="C52" s="440"/>
      <c r="D52" s="440"/>
      <c r="E52" s="435"/>
      <c r="F52" s="97" t="s">
        <v>709</v>
      </c>
      <c r="G52" s="139" t="s">
        <v>664</v>
      </c>
      <c r="H52" s="135">
        <v>60</v>
      </c>
      <c r="I52" s="136"/>
      <c r="J52" s="136"/>
      <c r="K52" s="136"/>
      <c r="L52" s="136"/>
      <c r="M52" s="136"/>
      <c r="N52" s="136"/>
      <c r="O52" s="136"/>
      <c r="P52" s="136"/>
      <c r="Q52" s="136"/>
      <c r="R52" s="437"/>
      <c r="S52" s="429"/>
      <c r="T52" s="429"/>
      <c r="U52" s="432"/>
      <c r="V52" s="432"/>
      <c r="W52" s="432"/>
      <c r="X52" s="432"/>
      <c r="Y52" s="136"/>
      <c r="Z52" s="136"/>
      <c r="AA52" s="136"/>
    </row>
    <row r="53" spans="1:27" s="92" customFormat="1" ht="38.25" hidden="1">
      <c r="A53" s="95"/>
      <c r="B53" s="95"/>
      <c r="C53" s="95"/>
      <c r="D53" s="95"/>
      <c r="E53" s="100" t="s">
        <v>710</v>
      </c>
      <c r="F53" s="97" t="s">
        <v>702</v>
      </c>
      <c r="G53" s="139" t="s">
        <v>664</v>
      </c>
      <c r="H53" s="135">
        <v>600</v>
      </c>
      <c r="I53" s="136"/>
      <c r="J53" s="136"/>
      <c r="K53" s="136"/>
      <c r="L53" s="136"/>
      <c r="M53" s="136"/>
      <c r="N53" s="136"/>
      <c r="O53" s="136"/>
      <c r="P53" s="136"/>
      <c r="Q53" s="136"/>
      <c r="R53" s="166">
        <f>'[2]ресурсн обеспечен'!L176</f>
        <v>10043.299999999999</v>
      </c>
      <c r="S53" s="166"/>
      <c r="T53" s="166"/>
      <c r="U53" s="137"/>
      <c r="V53" s="137"/>
      <c r="W53" s="137"/>
      <c r="X53" s="137"/>
      <c r="Y53" s="136"/>
      <c r="Z53" s="136"/>
      <c r="AA53" s="136"/>
    </row>
    <row r="54" spans="1:27" s="92" customFormat="1" ht="51" hidden="1">
      <c r="A54" s="95"/>
      <c r="B54" s="95"/>
      <c r="C54" s="95"/>
      <c r="D54" s="95"/>
      <c r="E54" s="100" t="s">
        <v>711</v>
      </c>
      <c r="F54" s="97" t="s">
        <v>712</v>
      </c>
      <c r="G54" s="139" t="s">
        <v>664</v>
      </c>
      <c r="H54" s="135">
        <v>0</v>
      </c>
      <c r="I54" s="138"/>
      <c r="J54" s="138"/>
      <c r="K54" s="136"/>
      <c r="L54" s="136"/>
      <c r="M54" s="136"/>
      <c r="N54" s="136"/>
      <c r="O54" s="136"/>
      <c r="P54" s="136"/>
      <c r="Q54" s="136"/>
      <c r="R54" s="166">
        <v>0</v>
      </c>
      <c r="S54" s="166"/>
      <c r="T54" s="166"/>
      <c r="U54" s="137"/>
      <c r="V54" s="137"/>
      <c r="W54" s="137"/>
      <c r="X54" s="137"/>
      <c r="Y54" s="136"/>
      <c r="Z54" s="136"/>
      <c r="AA54" s="136"/>
    </row>
    <row r="55" spans="1:27" s="92" customFormat="1" ht="51" hidden="1">
      <c r="A55" s="95"/>
      <c r="B55" s="95"/>
      <c r="C55" s="95"/>
      <c r="D55" s="95"/>
      <c r="E55" s="100" t="s">
        <v>713</v>
      </c>
      <c r="F55" s="97" t="s">
        <v>714</v>
      </c>
      <c r="G55" s="139" t="s">
        <v>664</v>
      </c>
      <c r="H55" s="135">
        <v>36277</v>
      </c>
      <c r="I55" s="138"/>
      <c r="J55" s="138"/>
      <c r="K55" s="138"/>
      <c r="L55" s="138"/>
      <c r="M55" s="138"/>
      <c r="N55" s="138"/>
      <c r="O55" s="138"/>
      <c r="P55" s="138"/>
      <c r="Q55" s="138"/>
      <c r="R55" s="166">
        <f>'[2]ресурсн обеспечен'!L177</f>
        <v>668638.1</v>
      </c>
      <c r="S55" s="166"/>
      <c r="T55" s="166"/>
      <c r="U55" s="137"/>
      <c r="V55" s="137"/>
      <c r="W55" s="137"/>
      <c r="X55" s="137"/>
      <c r="Y55" s="138"/>
      <c r="Z55" s="138"/>
      <c r="AA55" s="138"/>
    </row>
    <row r="56" spans="1:27" s="92" customFormat="1" ht="38.25" hidden="1">
      <c r="A56" s="95"/>
      <c r="B56" s="95"/>
      <c r="C56" s="95"/>
      <c r="D56" s="95"/>
      <c r="E56" s="100" t="s">
        <v>141</v>
      </c>
      <c r="F56" s="97" t="s">
        <v>715</v>
      </c>
      <c r="G56" s="139" t="s">
        <v>664</v>
      </c>
      <c r="H56" s="135">
        <v>20107</v>
      </c>
      <c r="I56" s="138"/>
      <c r="J56" s="138"/>
      <c r="K56" s="138"/>
      <c r="L56" s="138"/>
      <c r="M56" s="138"/>
      <c r="N56" s="138"/>
      <c r="O56" s="138"/>
      <c r="P56" s="138"/>
      <c r="Q56" s="138"/>
      <c r="R56" s="166">
        <f>'[2]ресурсн обеспечен'!L178</f>
        <v>11371.1</v>
      </c>
      <c r="S56" s="166"/>
      <c r="T56" s="166"/>
      <c r="U56" s="137"/>
      <c r="V56" s="137"/>
      <c r="W56" s="137"/>
      <c r="X56" s="137"/>
      <c r="Y56" s="138"/>
      <c r="Z56" s="138"/>
      <c r="AA56" s="138"/>
    </row>
    <row r="57" spans="1:27" s="92" customFormat="1" ht="38.25" hidden="1">
      <c r="A57" s="95"/>
      <c r="B57" s="95"/>
      <c r="C57" s="95"/>
      <c r="D57" s="95"/>
      <c r="E57" s="100" t="s">
        <v>142</v>
      </c>
      <c r="F57" s="97" t="s">
        <v>715</v>
      </c>
      <c r="G57" s="139" t="s">
        <v>664</v>
      </c>
      <c r="H57" s="135">
        <v>4250</v>
      </c>
      <c r="I57" s="138"/>
      <c r="J57" s="138"/>
      <c r="K57" s="138"/>
      <c r="L57" s="138"/>
      <c r="M57" s="138"/>
      <c r="N57" s="138"/>
      <c r="O57" s="138"/>
      <c r="P57" s="138"/>
      <c r="Q57" s="138"/>
      <c r="R57" s="166">
        <f>'[2]ресурсн обеспечен'!L179</f>
        <v>3257.1</v>
      </c>
      <c r="S57" s="166"/>
      <c r="T57" s="166"/>
      <c r="U57" s="137"/>
      <c r="V57" s="137"/>
      <c r="W57" s="137"/>
      <c r="X57" s="137"/>
      <c r="Y57" s="138"/>
      <c r="Z57" s="138"/>
      <c r="AA57" s="138"/>
    </row>
    <row r="58" spans="1:27" s="92" customFormat="1" ht="41.25" hidden="1" customHeight="1">
      <c r="A58" s="426" t="s">
        <v>650</v>
      </c>
      <c r="B58" s="426"/>
      <c r="C58" s="426"/>
      <c r="D58" s="426"/>
      <c r="E58" s="426"/>
      <c r="F58" s="426"/>
      <c r="G58" s="426"/>
      <c r="H58" s="426"/>
      <c r="I58" s="426"/>
      <c r="J58" s="426"/>
      <c r="K58" s="426"/>
      <c r="L58" s="426"/>
      <c r="M58" s="426"/>
      <c r="N58" s="426"/>
      <c r="O58" s="426"/>
      <c r="P58" s="426"/>
      <c r="Q58" s="426"/>
      <c r="R58" s="426"/>
      <c r="S58" s="426"/>
      <c r="T58" s="426"/>
      <c r="U58" s="426"/>
      <c r="V58" s="426"/>
      <c r="W58" s="426"/>
      <c r="X58" s="426"/>
    </row>
    <row r="59" spans="1:27" s="142" customFormat="1" ht="12.75">
      <c r="A59" s="289"/>
      <c r="B59" s="289"/>
      <c r="C59" s="289"/>
      <c r="D59" s="290"/>
      <c r="E59" s="290"/>
      <c r="R59" s="291"/>
    </row>
    <row r="60" spans="1:27" s="142" customFormat="1" ht="12.75">
      <c r="A60" s="292"/>
      <c r="B60" s="292"/>
      <c r="C60" s="292"/>
    </row>
    <row r="61" spans="1:27" s="142" customFormat="1" ht="12.75">
      <c r="A61" s="292"/>
      <c r="B61" s="292"/>
      <c r="C61" s="292"/>
    </row>
    <row r="62" spans="1:27" s="142" customFormat="1" ht="12.75">
      <c r="A62" s="292"/>
      <c r="B62" s="292"/>
      <c r="C62" s="292"/>
      <c r="Q62" s="142" t="s">
        <v>458</v>
      </c>
    </row>
    <row r="63" spans="1:27" s="142" customFormat="1" ht="12.75">
      <c r="A63" s="292"/>
      <c r="B63" s="292"/>
      <c r="C63" s="292"/>
    </row>
    <row r="64" spans="1:27" ht="15.75">
      <c r="F64" s="121"/>
    </row>
  </sheetData>
  <autoFilter ref="A17:AJ58">
    <filterColumn colId="1">
      <filters>
        <filter val="3"/>
      </filters>
    </filterColumn>
  </autoFilter>
  <mergeCells count="29">
    <mergeCell ref="A58:X58"/>
    <mergeCell ref="S50:S52"/>
    <mergeCell ref="T50:T52"/>
    <mergeCell ref="U50:U52"/>
    <mergeCell ref="V50:V52"/>
    <mergeCell ref="W50:W52"/>
    <mergeCell ref="X50:X52"/>
    <mergeCell ref="E50:E52"/>
    <mergeCell ref="R50:R52"/>
    <mergeCell ref="A50:A52"/>
    <mergeCell ref="B50:B52"/>
    <mergeCell ref="C50:C52"/>
    <mergeCell ref="D50:D52"/>
    <mergeCell ref="H16:Q16"/>
    <mergeCell ref="R16:AA16"/>
    <mergeCell ref="F14:X14"/>
    <mergeCell ref="S1:X1"/>
    <mergeCell ref="S2:X2"/>
    <mergeCell ref="H4:R4"/>
    <mergeCell ref="S4:X4"/>
    <mergeCell ref="H6:R6"/>
    <mergeCell ref="S6:X6"/>
    <mergeCell ref="A9:X9"/>
    <mergeCell ref="F11:X11"/>
    <mergeCell ref="F12:X12"/>
    <mergeCell ref="A13:E13"/>
    <mergeCell ref="F13:X13"/>
    <mergeCell ref="A16:D16"/>
    <mergeCell ref="G16:G17"/>
  </mergeCells>
  <pageMargins left="0.35433070866141736" right="0.15748031496062992" top="0.47244094488188981" bottom="0.27559055118110237" header="0.31496062992125984" footer="0.31496062992125984"/>
  <pageSetup paperSize="9" scale="52" fitToHeight="5"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sheetPr>
    <tabColor theme="9" tint="0.39997558519241921"/>
    <pageSetUpPr fitToPage="1"/>
  </sheetPr>
  <dimension ref="A1:U249"/>
  <sheetViews>
    <sheetView topLeftCell="A4" zoomScale="88" zoomScaleNormal="88" zoomScalePageLayoutView="80" workbookViewId="0">
      <selection activeCell="E249" sqref="E249:R249"/>
    </sheetView>
  </sheetViews>
  <sheetFormatPr defaultColWidth="9.140625" defaultRowHeight="15.75"/>
  <cols>
    <col min="1" max="1" width="5.7109375" style="2" customWidth="1"/>
    <col min="2" max="2" width="6" style="2" customWidth="1"/>
    <col min="3" max="3" width="6.5703125" style="2" customWidth="1"/>
    <col min="4" max="4" width="9.42578125" style="2" customWidth="1"/>
    <col min="5" max="5" width="46.42578125" style="3" customWidth="1"/>
    <col min="6" max="6" width="31.5703125" style="3" customWidth="1"/>
    <col min="7" max="9" width="9.140625" style="2" customWidth="1"/>
    <col min="10" max="10" width="14.5703125" style="293" customWidth="1"/>
    <col min="11" max="11" width="9.140625" style="2" customWidth="1"/>
    <col min="12" max="12" width="14.28515625" style="294" customWidth="1"/>
    <col min="13" max="13" width="13.5703125" style="295" customWidth="1"/>
    <col min="14" max="14" width="14" style="296" customWidth="1"/>
    <col min="15" max="15" width="13.140625" style="297" customWidth="1"/>
    <col min="16" max="17" width="12.42578125" style="2" customWidth="1"/>
    <col min="18" max="18" width="13.5703125" style="2" customWidth="1"/>
    <col min="19" max="21" width="13.5703125" style="42" customWidth="1"/>
    <col min="22" max="16384" width="9.140625" style="2"/>
  </cols>
  <sheetData>
    <row r="1" spans="1:21" ht="21.75" hidden="1" customHeight="1">
      <c r="O1" s="441" t="s">
        <v>162</v>
      </c>
      <c r="P1" s="441"/>
      <c r="Q1" s="441"/>
      <c r="R1" s="441"/>
    </row>
    <row r="2" spans="1:21" ht="54" hidden="1" customHeight="1">
      <c r="O2" s="441" t="s">
        <v>177</v>
      </c>
      <c r="P2" s="441"/>
      <c r="Q2" s="441"/>
      <c r="R2" s="441"/>
    </row>
    <row r="3" spans="1:21" ht="28.5" hidden="1" customHeight="1"/>
    <row r="4" spans="1:21">
      <c r="A4" s="293"/>
      <c r="B4" s="293"/>
      <c r="C4" s="293"/>
      <c r="O4" s="476" t="s">
        <v>457</v>
      </c>
      <c r="P4" s="476"/>
      <c r="Q4" s="476"/>
      <c r="R4" s="476"/>
    </row>
    <row r="5" spans="1:21" ht="45.75" customHeight="1">
      <c r="A5" s="293"/>
      <c r="B5" s="293"/>
      <c r="C5" s="293"/>
      <c r="O5" s="441" t="s">
        <v>178</v>
      </c>
      <c r="P5" s="441"/>
      <c r="Q5" s="441"/>
      <c r="R5" s="441"/>
    </row>
    <row r="6" spans="1:21">
      <c r="A6" s="293"/>
      <c r="B6" s="293"/>
      <c r="C6" s="293"/>
      <c r="E6" s="298"/>
      <c r="F6" s="298"/>
      <c r="G6" s="206"/>
      <c r="H6" s="206"/>
      <c r="I6" s="206"/>
      <c r="J6" s="299"/>
    </row>
    <row r="7" spans="1:21">
      <c r="A7" s="293"/>
      <c r="B7" s="293"/>
      <c r="C7" s="293"/>
      <c r="E7" s="298"/>
      <c r="F7" s="298"/>
      <c r="G7" s="206"/>
      <c r="H7" s="206"/>
      <c r="I7" s="206"/>
      <c r="J7" s="299"/>
    </row>
    <row r="8" spans="1:21" ht="15.75" customHeight="1">
      <c r="A8" s="477" t="s">
        <v>179</v>
      </c>
      <c r="B8" s="477"/>
      <c r="C8" s="477"/>
      <c r="D8" s="477"/>
      <c r="E8" s="477"/>
      <c r="F8" s="477"/>
      <c r="G8" s="477"/>
      <c r="H8" s="477"/>
      <c r="I8" s="477"/>
      <c r="J8" s="477"/>
      <c r="K8" s="477"/>
      <c r="L8" s="477"/>
      <c r="M8" s="477"/>
      <c r="N8" s="477"/>
      <c r="O8" s="477"/>
      <c r="P8" s="477"/>
      <c r="Q8" s="477"/>
    </row>
    <row r="9" spans="1:21">
      <c r="A9" s="293"/>
      <c r="B9" s="293"/>
      <c r="C9" s="293"/>
      <c r="E9" s="298"/>
      <c r="F9" s="298"/>
      <c r="G9" s="206"/>
      <c r="H9" s="206"/>
      <c r="I9" s="206"/>
      <c r="J9" s="299"/>
      <c r="K9" s="206"/>
    </row>
    <row r="10" spans="1:21" ht="15.75" customHeight="1">
      <c r="A10" s="300" t="s">
        <v>163</v>
      </c>
      <c r="B10" s="300"/>
      <c r="C10" s="300"/>
      <c r="D10" s="301"/>
      <c r="E10" s="207"/>
      <c r="F10" s="466" t="s">
        <v>164</v>
      </c>
      <c r="G10" s="466"/>
      <c r="H10" s="466"/>
      <c r="I10" s="466"/>
      <c r="J10" s="466"/>
      <c r="K10" s="466"/>
      <c r="L10" s="466"/>
      <c r="M10" s="466"/>
      <c r="N10" s="466"/>
      <c r="O10" s="466"/>
      <c r="P10" s="466"/>
      <c r="Q10" s="466"/>
      <c r="R10" s="466"/>
    </row>
    <row r="11" spans="1:21" ht="15.75" customHeight="1">
      <c r="A11" s="293"/>
      <c r="B11" s="293"/>
      <c r="C11" s="293"/>
      <c r="F11" s="467" t="s">
        <v>1</v>
      </c>
      <c r="G11" s="467"/>
      <c r="H11" s="467"/>
      <c r="I11" s="467"/>
      <c r="J11" s="467"/>
      <c r="K11" s="467"/>
      <c r="L11" s="467"/>
      <c r="M11" s="467"/>
      <c r="N11" s="467"/>
      <c r="O11" s="467"/>
      <c r="P11" s="467"/>
      <c r="Q11" s="467"/>
    </row>
    <row r="12" spans="1:21" ht="15.75" customHeight="1">
      <c r="A12" s="465" t="s">
        <v>2</v>
      </c>
      <c r="B12" s="465"/>
      <c r="C12" s="465"/>
      <c r="D12" s="465"/>
      <c r="E12" s="465"/>
      <c r="F12" s="466" t="s">
        <v>3</v>
      </c>
      <c r="G12" s="466"/>
      <c r="H12" s="466"/>
      <c r="I12" s="466"/>
      <c r="J12" s="466"/>
      <c r="K12" s="466"/>
      <c r="L12" s="466"/>
      <c r="M12" s="466"/>
      <c r="N12" s="466"/>
      <c r="O12" s="466"/>
      <c r="P12" s="466"/>
      <c r="Q12" s="466"/>
      <c r="R12" s="466"/>
    </row>
    <row r="13" spans="1:21" ht="15.75" customHeight="1">
      <c r="A13" s="293"/>
      <c r="B13" s="293"/>
      <c r="C13" s="293"/>
      <c r="E13" s="298"/>
      <c r="F13" s="467" t="s">
        <v>4</v>
      </c>
      <c r="G13" s="467"/>
      <c r="H13" s="467"/>
      <c r="I13" s="467"/>
      <c r="J13" s="467"/>
      <c r="K13" s="467"/>
      <c r="L13" s="467"/>
      <c r="M13" s="467"/>
      <c r="N13" s="467"/>
      <c r="O13" s="467"/>
      <c r="P13" s="467"/>
      <c r="Q13" s="467"/>
      <c r="R13" s="467"/>
    </row>
    <row r="14" spans="1:21">
      <c r="A14" s="293"/>
      <c r="B14" s="293"/>
      <c r="C14" s="293"/>
      <c r="E14" s="298"/>
      <c r="F14" s="298"/>
      <c r="G14" s="15"/>
      <c r="H14" s="15"/>
      <c r="I14" s="15"/>
      <c r="J14" s="14"/>
      <c r="K14" s="15"/>
    </row>
    <row r="15" spans="1:21" ht="34.5" customHeight="1">
      <c r="A15" s="468" t="s">
        <v>5</v>
      </c>
      <c r="B15" s="468"/>
      <c r="C15" s="468"/>
      <c r="D15" s="468"/>
      <c r="E15" s="469" t="s">
        <v>180</v>
      </c>
      <c r="F15" s="471" t="s">
        <v>181</v>
      </c>
      <c r="G15" s="473" t="s">
        <v>182</v>
      </c>
      <c r="H15" s="473"/>
      <c r="I15" s="473"/>
      <c r="J15" s="474"/>
      <c r="K15" s="474"/>
      <c r="L15" s="475" t="s">
        <v>183</v>
      </c>
      <c r="M15" s="475"/>
      <c r="N15" s="475"/>
      <c r="O15" s="475"/>
      <c r="P15" s="475"/>
      <c r="Q15" s="475"/>
      <c r="R15" s="475"/>
      <c r="S15" s="475"/>
      <c r="T15" s="475"/>
      <c r="U15" s="475"/>
    </row>
    <row r="16" spans="1:21" ht="40.5" customHeight="1">
      <c r="A16" s="302" t="s">
        <v>6</v>
      </c>
      <c r="B16" s="302" t="s">
        <v>7</v>
      </c>
      <c r="C16" s="302" t="s">
        <v>8</v>
      </c>
      <c r="D16" s="18" t="s">
        <v>9</v>
      </c>
      <c r="E16" s="470"/>
      <c r="F16" s="472"/>
      <c r="G16" s="303" t="s">
        <v>184</v>
      </c>
      <c r="H16" s="303" t="s">
        <v>185</v>
      </c>
      <c r="I16" s="304" t="s">
        <v>186</v>
      </c>
      <c r="J16" s="304" t="s">
        <v>187</v>
      </c>
      <c r="K16" s="305" t="s">
        <v>188</v>
      </c>
      <c r="L16" s="306" t="s">
        <v>167</v>
      </c>
      <c r="M16" s="306" t="s">
        <v>168</v>
      </c>
      <c r="N16" s="306" t="s">
        <v>169</v>
      </c>
      <c r="O16" s="306" t="s">
        <v>170</v>
      </c>
      <c r="P16" s="306" t="s">
        <v>171</v>
      </c>
      <c r="Q16" s="306" t="s">
        <v>172</v>
      </c>
      <c r="R16" s="306" t="s">
        <v>173</v>
      </c>
      <c r="S16" s="307" t="s">
        <v>716</v>
      </c>
      <c r="T16" s="307" t="s">
        <v>717</v>
      </c>
      <c r="U16" s="307" t="s">
        <v>718</v>
      </c>
    </row>
    <row r="17" spans="1:21" ht="15">
      <c r="A17" s="446" t="s">
        <v>10</v>
      </c>
      <c r="B17" s="448"/>
      <c r="C17" s="448"/>
      <c r="D17" s="448"/>
      <c r="E17" s="442" t="s">
        <v>189</v>
      </c>
      <c r="F17" s="268" t="s">
        <v>190</v>
      </c>
      <c r="G17" s="308"/>
      <c r="H17" s="308"/>
      <c r="I17" s="309"/>
      <c r="J17" s="114"/>
      <c r="K17" s="308"/>
      <c r="L17" s="310">
        <f>L18+L19+L20+L21+L22+L23+L24+L25</f>
        <v>7685015.4900000012</v>
      </c>
      <c r="M17" s="310">
        <f t="shared" ref="M17:R17" si="0">M18+M19+M20+M21+M22+M23+M24+M25</f>
        <v>7816911.75</v>
      </c>
      <c r="N17" s="310">
        <f t="shared" si="0"/>
        <v>7739698.1574299997</v>
      </c>
      <c r="O17" s="311">
        <f t="shared" si="0"/>
        <v>8671606.7999999989</v>
      </c>
      <c r="P17" s="310">
        <f t="shared" si="0"/>
        <v>9284001.5</v>
      </c>
      <c r="Q17" s="310">
        <f t="shared" si="0"/>
        <v>9019444.0000000019</v>
      </c>
      <c r="R17" s="310">
        <f t="shared" si="0"/>
        <v>9037010.8000000007</v>
      </c>
      <c r="S17" s="312">
        <f>R17*1.04</f>
        <v>9398491.2320000008</v>
      </c>
      <c r="T17" s="312">
        <f>S17*1.04</f>
        <v>9774430.8812800013</v>
      </c>
      <c r="U17" s="312">
        <f>T17*1.04</f>
        <v>10165408.116531203</v>
      </c>
    </row>
    <row r="18" spans="1:21" ht="19.5" customHeight="1">
      <c r="A18" s="451"/>
      <c r="B18" s="464"/>
      <c r="C18" s="464"/>
      <c r="D18" s="464"/>
      <c r="E18" s="452"/>
      <c r="F18" s="268" t="s">
        <v>3</v>
      </c>
      <c r="G18" s="308">
        <v>843</v>
      </c>
      <c r="H18" s="308"/>
      <c r="I18" s="309"/>
      <c r="J18" s="309"/>
      <c r="K18" s="308"/>
      <c r="L18" s="310">
        <f t="shared" ref="L18:R18" si="1">L27+L80+L134+L232</f>
        <v>7627379.5899999999</v>
      </c>
      <c r="M18" s="310">
        <f t="shared" si="1"/>
        <v>7724402.2999999998</v>
      </c>
      <c r="N18" s="310">
        <f t="shared" si="1"/>
        <v>7715692.4569299994</v>
      </c>
      <c r="O18" s="311">
        <f t="shared" si="1"/>
        <v>8644475.7999999989</v>
      </c>
      <c r="P18" s="310">
        <f t="shared" si="1"/>
        <v>9187987</v>
      </c>
      <c r="Q18" s="310">
        <f t="shared" si="1"/>
        <v>8877443.1000000015</v>
      </c>
      <c r="R18" s="310">
        <f t="shared" si="1"/>
        <v>8929967.8000000007</v>
      </c>
      <c r="S18" s="312">
        <f t="shared" ref="S18:U18" si="2">R18*1.04</f>
        <v>9287166.512000002</v>
      </c>
      <c r="T18" s="312">
        <f t="shared" si="2"/>
        <v>9658653.172480002</v>
      </c>
      <c r="U18" s="312">
        <f t="shared" si="2"/>
        <v>10044999.299379202</v>
      </c>
    </row>
    <row r="19" spans="1:21" ht="31.5" customHeight="1">
      <c r="A19" s="451"/>
      <c r="B19" s="464"/>
      <c r="C19" s="464"/>
      <c r="D19" s="464"/>
      <c r="E19" s="452"/>
      <c r="F19" s="268" t="s">
        <v>92</v>
      </c>
      <c r="G19" s="308">
        <v>855</v>
      </c>
      <c r="H19" s="308"/>
      <c r="I19" s="309"/>
      <c r="J19" s="309"/>
      <c r="K19" s="308"/>
      <c r="L19" s="310">
        <f>L81+L137</f>
        <v>32124.400000000001</v>
      </c>
      <c r="M19" s="310">
        <f>M81+M137</f>
        <v>57414.399999999994</v>
      </c>
      <c r="N19" s="310">
        <f>N81</f>
        <v>24005.700499999999</v>
      </c>
      <c r="O19" s="311">
        <f>O81</f>
        <v>27131</v>
      </c>
      <c r="P19" s="310">
        <f>P81</f>
        <v>7873.5</v>
      </c>
      <c r="Q19" s="310">
        <f>Q81</f>
        <v>53767.5</v>
      </c>
      <c r="R19" s="310">
        <f>R81</f>
        <v>18809.599999999999</v>
      </c>
      <c r="S19" s="312">
        <f t="shared" ref="S19:U19" si="3">R19*1.04</f>
        <v>19561.984</v>
      </c>
      <c r="T19" s="312">
        <f t="shared" si="3"/>
        <v>20344.463360000002</v>
      </c>
      <c r="U19" s="312">
        <f t="shared" si="3"/>
        <v>21158.241894400002</v>
      </c>
    </row>
    <row r="20" spans="1:21" ht="49.5" customHeight="1">
      <c r="A20" s="451"/>
      <c r="B20" s="464"/>
      <c r="C20" s="464"/>
      <c r="D20" s="464"/>
      <c r="E20" s="452"/>
      <c r="F20" s="268" t="s">
        <v>475</v>
      </c>
      <c r="G20" s="308">
        <v>833</v>
      </c>
      <c r="H20" s="308"/>
      <c r="I20" s="309"/>
      <c r="J20" s="309"/>
      <c r="K20" s="308"/>
      <c r="L20" s="310">
        <f>L106</f>
        <v>0</v>
      </c>
      <c r="M20" s="310">
        <f t="shared" ref="M20:R20" si="4">M106</f>
        <v>0</v>
      </c>
      <c r="N20" s="310">
        <f t="shared" si="4"/>
        <v>0</v>
      </c>
      <c r="O20" s="311">
        <f t="shared" si="4"/>
        <v>0</v>
      </c>
      <c r="P20" s="310">
        <f t="shared" si="4"/>
        <v>88141</v>
      </c>
      <c r="Q20" s="310">
        <f t="shared" si="4"/>
        <v>88233.4</v>
      </c>
      <c r="R20" s="310">
        <f t="shared" si="4"/>
        <v>88233.4</v>
      </c>
      <c r="S20" s="312">
        <f t="shared" ref="S20:U20" si="5">R20*1.04</f>
        <v>91762.73599999999</v>
      </c>
      <c r="T20" s="312">
        <f t="shared" si="5"/>
        <v>95433.245439999999</v>
      </c>
      <c r="U20" s="312">
        <f t="shared" si="5"/>
        <v>99250.575257600009</v>
      </c>
    </row>
    <row r="21" spans="1:21" ht="42" customHeight="1">
      <c r="A21" s="451"/>
      <c r="B21" s="464"/>
      <c r="C21" s="464"/>
      <c r="D21" s="464"/>
      <c r="E21" s="452"/>
      <c r="F21" s="268" t="s">
        <v>93</v>
      </c>
      <c r="G21" s="308">
        <v>835</v>
      </c>
      <c r="H21" s="308"/>
      <c r="I21" s="309"/>
      <c r="J21" s="309"/>
      <c r="K21" s="308"/>
      <c r="L21" s="310">
        <f t="shared" ref="L21:R21" si="6">L83+L135</f>
        <v>7351.4000000000005</v>
      </c>
      <c r="M21" s="310">
        <f t="shared" si="6"/>
        <v>1417.71</v>
      </c>
      <c r="N21" s="310">
        <f t="shared" si="6"/>
        <v>0</v>
      </c>
      <c r="O21" s="311">
        <f t="shared" si="6"/>
        <v>0</v>
      </c>
      <c r="P21" s="310">
        <f t="shared" si="6"/>
        <v>0</v>
      </c>
      <c r="Q21" s="310">
        <f t="shared" si="6"/>
        <v>0</v>
      </c>
      <c r="R21" s="310">
        <f t="shared" si="6"/>
        <v>0</v>
      </c>
      <c r="S21" s="312">
        <f t="shared" ref="S21:U21" si="7">R21*1.04</f>
        <v>0</v>
      </c>
      <c r="T21" s="312">
        <f t="shared" si="7"/>
        <v>0</v>
      </c>
      <c r="U21" s="312">
        <f t="shared" si="7"/>
        <v>0</v>
      </c>
    </row>
    <row r="22" spans="1:21" ht="32.25" customHeight="1">
      <c r="A22" s="451"/>
      <c r="B22" s="464"/>
      <c r="C22" s="464"/>
      <c r="D22" s="464"/>
      <c r="E22" s="452"/>
      <c r="F22" s="268" t="s">
        <v>191</v>
      </c>
      <c r="G22" s="308">
        <v>874</v>
      </c>
      <c r="H22" s="313"/>
      <c r="I22" s="313"/>
      <c r="J22" s="313"/>
      <c r="K22" s="313"/>
      <c r="L22" s="310">
        <f>L216+L217</f>
        <v>5000</v>
      </c>
      <c r="M22" s="310">
        <f>M216+M139</f>
        <v>12619.8</v>
      </c>
      <c r="N22" s="310">
        <f>N216</f>
        <v>0</v>
      </c>
      <c r="O22" s="311">
        <f>O216</f>
        <v>0</v>
      </c>
      <c r="P22" s="310">
        <f>P216</f>
        <v>0</v>
      </c>
      <c r="Q22" s="310">
        <f>Q216</f>
        <v>0</v>
      </c>
      <c r="R22" s="310">
        <f>R216</f>
        <v>0</v>
      </c>
      <c r="S22" s="312">
        <f t="shared" ref="S22:U22" si="8">R22*1.04</f>
        <v>0</v>
      </c>
      <c r="T22" s="312">
        <f t="shared" si="8"/>
        <v>0</v>
      </c>
      <c r="U22" s="312">
        <f t="shared" si="8"/>
        <v>0</v>
      </c>
    </row>
    <row r="23" spans="1:21" ht="51">
      <c r="A23" s="451"/>
      <c r="B23" s="464"/>
      <c r="C23" s="464"/>
      <c r="D23" s="464"/>
      <c r="E23" s="452"/>
      <c r="F23" s="314" t="s">
        <v>192</v>
      </c>
      <c r="G23" s="308">
        <v>847</v>
      </c>
      <c r="H23" s="313"/>
      <c r="I23" s="313"/>
      <c r="J23" s="313"/>
      <c r="K23" s="313"/>
      <c r="L23" s="310">
        <f>L136</f>
        <v>6622.2</v>
      </c>
      <c r="M23" s="310">
        <f>M136</f>
        <v>5737.7099999999991</v>
      </c>
      <c r="N23" s="310">
        <v>0</v>
      </c>
      <c r="O23" s="311">
        <v>0</v>
      </c>
      <c r="P23" s="310">
        <v>0</v>
      </c>
      <c r="Q23" s="310">
        <v>0</v>
      </c>
      <c r="R23" s="310">
        <v>0</v>
      </c>
      <c r="S23" s="312">
        <f t="shared" ref="S23:U23" si="9">R23*1.04</f>
        <v>0</v>
      </c>
      <c r="T23" s="312">
        <f t="shared" si="9"/>
        <v>0</v>
      </c>
      <c r="U23" s="312">
        <f t="shared" si="9"/>
        <v>0</v>
      </c>
    </row>
    <row r="24" spans="1:21" ht="31.5" customHeight="1">
      <c r="A24" s="451"/>
      <c r="B24" s="464"/>
      <c r="C24" s="464"/>
      <c r="D24" s="464"/>
      <c r="E24" s="452"/>
      <c r="F24" s="315" t="s">
        <v>193</v>
      </c>
      <c r="G24" s="308">
        <v>857</v>
      </c>
      <c r="H24" s="313"/>
      <c r="I24" s="313"/>
      <c r="J24" s="313"/>
      <c r="K24" s="313"/>
      <c r="L24" s="310">
        <f>L138</f>
        <v>6537.9</v>
      </c>
      <c r="M24" s="310">
        <f>M138</f>
        <v>7640.2200000000012</v>
      </c>
      <c r="N24" s="310">
        <v>0</v>
      </c>
      <c r="O24" s="311">
        <v>0</v>
      </c>
      <c r="P24" s="310">
        <v>0</v>
      </c>
      <c r="Q24" s="310">
        <v>0</v>
      </c>
      <c r="R24" s="310">
        <v>0</v>
      </c>
      <c r="S24" s="312">
        <f t="shared" ref="S24:U24" si="10">R24*1.04</f>
        <v>0</v>
      </c>
      <c r="T24" s="312">
        <f t="shared" si="10"/>
        <v>0</v>
      </c>
      <c r="U24" s="312">
        <f t="shared" si="10"/>
        <v>0</v>
      </c>
    </row>
    <row r="25" spans="1:21" ht="42.75" customHeight="1">
      <c r="A25" s="451"/>
      <c r="B25" s="464"/>
      <c r="C25" s="464"/>
      <c r="D25" s="464"/>
      <c r="E25" s="452"/>
      <c r="F25" s="272" t="s">
        <v>194</v>
      </c>
      <c r="G25" s="308">
        <v>845</v>
      </c>
      <c r="H25" s="313"/>
      <c r="I25" s="313"/>
      <c r="J25" s="313"/>
      <c r="K25" s="313"/>
      <c r="L25" s="310">
        <v>0</v>
      </c>
      <c r="M25" s="310">
        <f>M170+M171+0.1</f>
        <v>7679.6100000000006</v>
      </c>
      <c r="N25" s="310">
        <v>0</v>
      </c>
      <c r="O25" s="311">
        <v>0</v>
      </c>
      <c r="P25" s="310">
        <v>0</v>
      </c>
      <c r="Q25" s="310">
        <v>0</v>
      </c>
      <c r="R25" s="310">
        <v>0</v>
      </c>
      <c r="S25" s="312">
        <f t="shared" ref="S25:U25" si="11">R25*1.04</f>
        <v>0</v>
      </c>
      <c r="T25" s="312">
        <f t="shared" si="11"/>
        <v>0</v>
      </c>
      <c r="U25" s="312">
        <f t="shared" si="11"/>
        <v>0</v>
      </c>
    </row>
    <row r="26" spans="1:21" ht="15" customHeight="1">
      <c r="A26" s="446" t="s">
        <v>10</v>
      </c>
      <c r="B26" s="446" t="s">
        <v>11</v>
      </c>
      <c r="C26" s="446"/>
      <c r="D26" s="446"/>
      <c r="E26" s="442" t="s">
        <v>12</v>
      </c>
      <c r="F26" s="268" t="s">
        <v>190</v>
      </c>
      <c r="G26" s="308" t="s">
        <v>195</v>
      </c>
      <c r="H26" s="308"/>
      <c r="I26" s="309"/>
      <c r="J26" s="309"/>
      <c r="K26" s="308"/>
      <c r="L26" s="310">
        <f t="shared" ref="L26:R26" si="12">L27</f>
        <v>3796137.6</v>
      </c>
      <c r="M26" s="310">
        <f t="shared" si="12"/>
        <v>4030027.5</v>
      </c>
      <c r="N26" s="310">
        <f t="shared" si="12"/>
        <v>3659543.8336999998</v>
      </c>
      <c r="O26" s="311">
        <f t="shared" si="12"/>
        <v>3853914</v>
      </c>
      <c r="P26" s="310">
        <f t="shared" si="12"/>
        <v>3722080.5999999996</v>
      </c>
      <c r="Q26" s="310">
        <f t="shared" si="12"/>
        <v>3726867.8</v>
      </c>
      <c r="R26" s="310">
        <f t="shared" si="12"/>
        <v>3732642.4</v>
      </c>
      <c r="S26" s="312">
        <f t="shared" ref="S26:U26" si="13">R26*1.04</f>
        <v>3881948.0959999999</v>
      </c>
      <c r="T26" s="312">
        <f t="shared" si="13"/>
        <v>4037226.0198400002</v>
      </c>
      <c r="U26" s="312">
        <f t="shared" si="13"/>
        <v>4198715.0606336007</v>
      </c>
    </row>
    <row r="27" spans="1:21" ht="15">
      <c r="A27" s="447"/>
      <c r="B27" s="447"/>
      <c r="C27" s="447"/>
      <c r="D27" s="447"/>
      <c r="E27" s="443"/>
      <c r="F27" s="268" t="s">
        <v>3</v>
      </c>
      <c r="G27" s="308">
        <v>843</v>
      </c>
      <c r="H27" s="308"/>
      <c r="I27" s="309"/>
      <c r="J27" s="309" t="s">
        <v>196</v>
      </c>
      <c r="K27" s="208"/>
      <c r="L27" s="310">
        <f>L28+L48+L50+L52+L54</f>
        <v>3796137.6</v>
      </c>
      <c r="M27" s="310">
        <f t="shared" ref="M27:R27" si="14">M28+M48+M50+M52+M54+M75+M76+M77+M78</f>
        <v>4030027.5</v>
      </c>
      <c r="N27" s="310">
        <f t="shared" si="14"/>
        <v>3659543.8336999998</v>
      </c>
      <c r="O27" s="311">
        <f t="shared" si="14"/>
        <v>3853914</v>
      </c>
      <c r="P27" s="310">
        <f t="shared" si="14"/>
        <v>3722080.5999999996</v>
      </c>
      <c r="Q27" s="310">
        <f t="shared" si="14"/>
        <v>3726867.8</v>
      </c>
      <c r="R27" s="310">
        <f t="shared" si="14"/>
        <v>3732642.4</v>
      </c>
      <c r="S27" s="312">
        <f t="shared" ref="S27:U27" si="15">R27*1.04</f>
        <v>3881948.0959999999</v>
      </c>
      <c r="T27" s="312">
        <f t="shared" si="15"/>
        <v>4037226.0198400002</v>
      </c>
      <c r="U27" s="312">
        <f t="shared" si="15"/>
        <v>4198715.0606336007</v>
      </c>
    </row>
    <row r="28" spans="1:21" ht="59.25" customHeight="1">
      <c r="A28" s="316" t="s">
        <v>10</v>
      </c>
      <c r="B28" s="316" t="s">
        <v>11</v>
      </c>
      <c r="C28" s="316" t="s">
        <v>13</v>
      </c>
      <c r="D28" s="316"/>
      <c r="E28" s="317" t="s">
        <v>14</v>
      </c>
      <c r="F28" s="268" t="s">
        <v>3</v>
      </c>
      <c r="G28" s="308">
        <v>843</v>
      </c>
      <c r="H28" s="208">
        <v>10</v>
      </c>
      <c r="I28" s="318" t="s">
        <v>16</v>
      </c>
      <c r="J28" s="318" t="s">
        <v>197</v>
      </c>
      <c r="K28" s="208" t="s">
        <v>198</v>
      </c>
      <c r="L28" s="310">
        <f>L29+L30+L31+L32+L33+L34+L35+L36+L37+L38+L39+L40+L41+L42+L43+L44+L45+L46+L47+L68+L69+L70+L71+L72+L73+L74</f>
        <v>3382383.4000000004</v>
      </c>
      <c r="M28" s="310">
        <v>3647715.5</v>
      </c>
      <c r="N28" s="310">
        <v>3647756.9014699999</v>
      </c>
      <c r="O28" s="319">
        <v>3842576.4</v>
      </c>
      <c r="P28" s="310">
        <v>3709851.5999999996</v>
      </c>
      <c r="Q28" s="310">
        <v>3716898.5999999996</v>
      </c>
      <c r="R28" s="310">
        <v>3722673.1999999997</v>
      </c>
      <c r="S28" s="312">
        <f t="shared" ref="S28:U28" si="16">R28*1.04</f>
        <v>3871580.128</v>
      </c>
      <c r="T28" s="312">
        <f t="shared" si="16"/>
        <v>4026443.3331200001</v>
      </c>
      <c r="U28" s="312">
        <f t="shared" si="16"/>
        <v>4187501.0664448002</v>
      </c>
    </row>
    <row r="29" spans="1:21" ht="38.25" hidden="1" customHeight="1">
      <c r="A29" s="309" t="s">
        <v>10</v>
      </c>
      <c r="B29" s="309" t="s">
        <v>13</v>
      </c>
      <c r="C29" s="309" t="s">
        <v>13</v>
      </c>
      <c r="D29" s="309" t="s">
        <v>13</v>
      </c>
      <c r="E29" s="272" t="s">
        <v>15</v>
      </c>
      <c r="F29" s="268" t="s">
        <v>103</v>
      </c>
      <c r="G29" s="320">
        <v>843</v>
      </c>
      <c r="H29" s="321">
        <v>10</v>
      </c>
      <c r="I29" s="322" t="s">
        <v>18</v>
      </c>
      <c r="J29" s="318" t="s">
        <v>199</v>
      </c>
      <c r="K29" s="308" t="s">
        <v>200</v>
      </c>
      <c r="L29" s="310">
        <v>566382</v>
      </c>
      <c r="M29" s="323">
        <v>620409.69999999995</v>
      </c>
      <c r="N29" s="310">
        <v>3651533.39</v>
      </c>
      <c r="O29" s="311">
        <v>574408.19999999995</v>
      </c>
      <c r="P29" s="310">
        <v>574408.19999999995</v>
      </c>
      <c r="Q29" s="310">
        <f t="shared" ref="Q29:Q53" si="17">P29*1.05</f>
        <v>603128.61</v>
      </c>
      <c r="R29" s="310">
        <f t="shared" ref="R29:R53" si="18">Q29*1.04</f>
        <v>627253.75439999998</v>
      </c>
      <c r="S29" s="312">
        <f t="shared" ref="S29:U29" si="19">R29*1.04</f>
        <v>652343.90457599994</v>
      </c>
      <c r="T29" s="312">
        <f t="shared" si="19"/>
        <v>678437.66075903992</v>
      </c>
      <c r="U29" s="312">
        <f t="shared" si="19"/>
        <v>705575.16718940157</v>
      </c>
    </row>
    <row r="30" spans="1:21" ht="38.25" hidden="1" customHeight="1">
      <c r="A30" s="309" t="s">
        <v>10</v>
      </c>
      <c r="B30" s="309" t="s">
        <v>13</v>
      </c>
      <c r="C30" s="309" t="s">
        <v>13</v>
      </c>
      <c r="D30" s="309" t="s">
        <v>16</v>
      </c>
      <c r="E30" s="272" t="s">
        <v>17</v>
      </c>
      <c r="F30" s="268" t="s">
        <v>103</v>
      </c>
      <c r="G30" s="320">
        <v>843</v>
      </c>
      <c r="H30" s="321">
        <v>10</v>
      </c>
      <c r="I30" s="322" t="s">
        <v>18</v>
      </c>
      <c r="J30" s="318" t="s">
        <v>201</v>
      </c>
      <c r="K30" s="308" t="s">
        <v>200</v>
      </c>
      <c r="L30" s="310">
        <v>87560.5</v>
      </c>
      <c r="M30" s="323">
        <f>82513.5-525.6</f>
        <v>81987.899999999994</v>
      </c>
      <c r="N30" s="310">
        <v>91931.9</v>
      </c>
      <c r="O30" s="311">
        <v>91931.9</v>
      </c>
      <c r="P30" s="310">
        <v>91931.9</v>
      </c>
      <c r="Q30" s="310">
        <f t="shared" si="17"/>
        <v>96528.494999999995</v>
      </c>
      <c r="R30" s="310">
        <f t="shared" si="18"/>
        <v>100389.6348</v>
      </c>
      <c r="S30" s="312">
        <f t="shared" ref="S30:U30" si="20">R30*1.04</f>
        <v>104405.22019200001</v>
      </c>
      <c r="T30" s="312">
        <f t="shared" si="20"/>
        <v>108581.42899968001</v>
      </c>
      <c r="U30" s="312">
        <f t="shared" si="20"/>
        <v>112924.68615966721</v>
      </c>
    </row>
    <row r="31" spans="1:21" ht="38.25" hidden="1" customHeight="1">
      <c r="A31" s="309" t="s">
        <v>10</v>
      </c>
      <c r="B31" s="309" t="s">
        <v>13</v>
      </c>
      <c r="C31" s="309" t="s">
        <v>13</v>
      </c>
      <c r="D31" s="309" t="s">
        <v>18</v>
      </c>
      <c r="E31" s="272" t="s">
        <v>19</v>
      </c>
      <c r="F31" s="268" t="s">
        <v>103</v>
      </c>
      <c r="G31" s="320">
        <v>843</v>
      </c>
      <c r="H31" s="321">
        <v>10</v>
      </c>
      <c r="I31" s="322" t="s">
        <v>18</v>
      </c>
      <c r="J31" s="318" t="s">
        <v>202</v>
      </c>
      <c r="K31" s="308" t="s">
        <v>200</v>
      </c>
      <c r="L31" s="310">
        <v>8763.9</v>
      </c>
      <c r="M31" s="323">
        <f>9141.1-125</f>
        <v>9016.1</v>
      </c>
      <c r="N31" s="310">
        <v>9154.7000000000007</v>
      </c>
      <c r="O31" s="311">
        <v>9154.7000000000007</v>
      </c>
      <c r="P31" s="310">
        <v>9154.7000000000007</v>
      </c>
      <c r="Q31" s="310">
        <f t="shared" si="17"/>
        <v>9612.4350000000013</v>
      </c>
      <c r="R31" s="310">
        <f t="shared" si="18"/>
        <v>9996.9324000000015</v>
      </c>
      <c r="S31" s="312">
        <f t="shared" ref="S31:U31" si="21">R31*1.04</f>
        <v>10396.809696000002</v>
      </c>
      <c r="T31" s="312">
        <f t="shared" si="21"/>
        <v>10812.682083840002</v>
      </c>
      <c r="U31" s="312">
        <f t="shared" si="21"/>
        <v>11245.189367193601</v>
      </c>
    </row>
    <row r="32" spans="1:21" ht="38.25" hidden="1" customHeight="1">
      <c r="A32" s="309" t="s">
        <v>10</v>
      </c>
      <c r="B32" s="309" t="s">
        <v>13</v>
      </c>
      <c r="C32" s="309" t="s">
        <v>13</v>
      </c>
      <c r="D32" s="309" t="s">
        <v>20</v>
      </c>
      <c r="E32" s="272" t="s">
        <v>21</v>
      </c>
      <c r="F32" s="268" t="s">
        <v>103</v>
      </c>
      <c r="G32" s="320">
        <v>843</v>
      </c>
      <c r="H32" s="321">
        <v>10</v>
      </c>
      <c r="I32" s="322" t="s">
        <v>18</v>
      </c>
      <c r="J32" s="318" t="s">
        <v>203</v>
      </c>
      <c r="K32" s="308" t="s">
        <v>200</v>
      </c>
      <c r="L32" s="310">
        <v>1275749</v>
      </c>
      <c r="M32" s="323">
        <v>1385488.9</v>
      </c>
      <c r="N32" s="310">
        <v>1268809.8999999999</v>
      </c>
      <c r="O32" s="311">
        <v>1268809.8999999999</v>
      </c>
      <c r="P32" s="310">
        <v>1268809.8999999999</v>
      </c>
      <c r="Q32" s="310">
        <f t="shared" si="17"/>
        <v>1332250.395</v>
      </c>
      <c r="R32" s="310">
        <f t="shared" si="18"/>
        <v>1385540.4108</v>
      </c>
      <c r="S32" s="312">
        <f t="shared" ref="S32:U32" si="22">R32*1.04</f>
        <v>1440962.0272319999</v>
      </c>
      <c r="T32" s="312">
        <f t="shared" si="22"/>
        <v>1498600.5083212799</v>
      </c>
      <c r="U32" s="312">
        <f t="shared" si="22"/>
        <v>1558544.5286541311</v>
      </c>
    </row>
    <row r="33" spans="1:21" ht="38.25" hidden="1" customHeight="1">
      <c r="A33" s="309" t="s">
        <v>10</v>
      </c>
      <c r="B33" s="309" t="s">
        <v>13</v>
      </c>
      <c r="C33" s="309" t="s">
        <v>13</v>
      </c>
      <c r="D33" s="309" t="s">
        <v>22</v>
      </c>
      <c r="E33" s="272" t="s">
        <v>23</v>
      </c>
      <c r="F33" s="268" t="s">
        <v>103</v>
      </c>
      <c r="G33" s="320">
        <v>843</v>
      </c>
      <c r="H33" s="321">
        <v>10</v>
      </c>
      <c r="I33" s="322" t="s">
        <v>18</v>
      </c>
      <c r="J33" s="318" t="s">
        <v>204</v>
      </c>
      <c r="K33" s="308" t="s">
        <v>200</v>
      </c>
      <c r="L33" s="310">
        <v>12016.2</v>
      </c>
      <c r="M33" s="323">
        <f>14724.6-535.5</f>
        <v>14189.1</v>
      </c>
      <c r="N33" s="310">
        <v>13546.3</v>
      </c>
      <c r="O33" s="311">
        <v>13546.3</v>
      </c>
      <c r="P33" s="310">
        <v>13546.3</v>
      </c>
      <c r="Q33" s="310">
        <f t="shared" si="17"/>
        <v>14223.615</v>
      </c>
      <c r="R33" s="310">
        <f t="shared" si="18"/>
        <v>14792.559600000001</v>
      </c>
      <c r="S33" s="312">
        <f t="shared" ref="S33:U33" si="23">R33*1.04</f>
        <v>15384.261984000001</v>
      </c>
      <c r="T33" s="312">
        <f t="shared" si="23"/>
        <v>15999.632463360002</v>
      </c>
      <c r="U33" s="312">
        <f t="shared" si="23"/>
        <v>16639.617761894402</v>
      </c>
    </row>
    <row r="34" spans="1:21" ht="38.25" hidden="1" customHeight="1">
      <c r="A34" s="309" t="s">
        <v>10</v>
      </c>
      <c r="B34" s="309" t="s">
        <v>13</v>
      </c>
      <c r="C34" s="309" t="s">
        <v>13</v>
      </c>
      <c r="D34" s="309" t="s">
        <v>24</v>
      </c>
      <c r="E34" s="268" t="s">
        <v>25</v>
      </c>
      <c r="F34" s="268" t="s">
        <v>103</v>
      </c>
      <c r="G34" s="308">
        <v>843</v>
      </c>
      <c r="H34" s="208">
        <v>10</v>
      </c>
      <c r="I34" s="318" t="s">
        <v>18</v>
      </c>
      <c r="J34" s="318" t="s">
        <v>205</v>
      </c>
      <c r="K34" s="208" t="s">
        <v>206</v>
      </c>
      <c r="L34" s="310">
        <v>1218646.2</v>
      </c>
      <c r="M34" s="311">
        <v>1186824.3999999999</v>
      </c>
      <c r="N34" s="310">
        <f>17000+6000+1337215.2</f>
        <v>1360215.2</v>
      </c>
      <c r="O34" s="311">
        <f>17000+6000+1337215.2</f>
        <v>1360215.2</v>
      </c>
      <c r="P34" s="310">
        <f>17000+6000+1337215.2</f>
        <v>1360215.2</v>
      </c>
      <c r="Q34" s="310">
        <f t="shared" si="17"/>
        <v>1428225.96</v>
      </c>
      <c r="R34" s="310">
        <f t="shared" si="18"/>
        <v>1485354.9983999999</v>
      </c>
      <c r="S34" s="312">
        <f t="shared" ref="S34:U34" si="24">R34*1.04</f>
        <v>1544769.1983360001</v>
      </c>
      <c r="T34" s="312">
        <f t="shared" si="24"/>
        <v>1606559.9662694403</v>
      </c>
      <c r="U34" s="312">
        <f t="shared" si="24"/>
        <v>1670822.364920218</v>
      </c>
    </row>
    <row r="35" spans="1:21" ht="38.25" hidden="1" customHeight="1">
      <c r="A35" s="309" t="s">
        <v>10</v>
      </c>
      <c r="B35" s="309" t="s">
        <v>13</v>
      </c>
      <c r="C35" s="309" t="s">
        <v>13</v>
      </c>
      <c r="D35" s="309" t="s">
        <v>26</v>
      </c>
      <c r="E35" s="268" t="s">
        <v>27</v>
      </c>
      <c r="F35" s="268" t="s">
        <v>103</v>
      </c>
      <c r="G35" s="308">
        <v>843</v>
      </c>
      <c r="H35" s="208">
        <v>10</v>
      </c>
      <c r="I35" s="318" t="s">
        <v>18</v>
      </c>
      <c r="J35" s="318" t="s">
        <v>207</v>
      </c>
      <c r="K35" s="208" t="s">
        <v>200</v>
      </c>
      <c r="L35" s="310">
        <v>52797.4</v>
      </c>
      <c r="M35" s="311">
        <v>53070.2</v>
      </c>
      <c r="N35" s="310">
        <v>59351.1</v>
      </c>
      <c r="O35" s="311">
        <v>59351.1</v>
      </c>
      <c r="P35" s="310">
        <v>59351.1</v>
      </c>
      <c r="Q35" s="310">
        <f t="shared" si="17"/>
        <v>62318.654999999999</v>
      </c>
      <c r="R35" s="310">
        <f t="shared" si="18"/>
        <v>64811.4012</v>
      </c>
      <c r="S35" s="312">
        <f t="shared" ref="S35:U35" si="25">R35*1.04</f>
        <v>67403.857248</v>
      </c>
      <c r="T35" s="312">
        <f t="shared" si="25"/>
        <v>70100.01153792</v>
      </c>
      <c r="U35" s="312">
        <f t="shared" si="25"/>
        <v>72904.0119994368</v>
      </c>
    </row>
    <row r="36" spans="1:21" ht="38.25" hidden="1" customHeight="1">
      <c r="A36" s="309" t="s">
        <v>10</v>
      </c>
      <c r="B36" s="309" t="s">
        <v>13</v>
      </c>
      <c r="C36" s="309" t="s">
        <v>13</v>
      </c>
      <c r="D36" s="309" t="s">
        <v>28</v>
      </c>
      <c r="E36" s="272" t="s">
        <v>29</v>
      </c>
      <c r="F36" s="268" t="s">
        <v>103</v>
      </c>
      <c r="G36" s="320">
        <v>843</v>
      </c>
      <c r="H36" s="321">
        <v>10</v>
      </c>
      <c r="I36" s="322" t="s">
        <v>18</v>
      </c>
      <c r="J36" s="318" t="s">
        <v>208</v>
      </c>
      <c r="K36" s="308">
        <v>320</v>
      </c>
      <c r="L36" s="310"/>
      <c r="M36" s="323">
        <v>10000</v>
      </c>
      <c r="N36" s="310">
        <v>64435.5</v>
      </c>
      <c r="O36" s="311">
        <v>64435.5</v>
      </c>
      <c r="P36" s="310">
        <v>64435.5</v>
      </c>
      <c r="Q36" s="310">
        <f t="shared" si="17"/>
        <v>67657.275000000009</v>
      </c>
      <c r="R36" s="310">
        <f t="shared" si="18"/>
        <v>70363.566000000006</v>
      </c>
      <c r="S36" s="312">
        <f t="shared" ref="S36:U36" si="26">R36*1.04</f>
        <v>73178.108640000006</v>
      </c>
      <c r="T36" s="312">
        <f t="shared" si="26"/>
        <v>76105.232985600014</v>
      </c>
      <c r="U36" s="312">
        <f t="shared" si="26"/>
        <v>79149.442305024015</v>
      </c>
    </row>
    <row r="37" spans="1:21" ht="38.25" hidden="1" customHeight="1">
      <c r="A37" s="309" t="s">
        <v>10</v>
      </c>
      <c r="B37" s="309" t="s">
        <v>13</v>
      </c>
      <c r="C37" s="309" t="s">
        <v>13</v>
      </c>
      <c r="D37" s="309" t="s">
        <v>30</v>
      </c>
      <c r="E37" s="272" t="s">
        <v>31</v>
      </c>
      <c r="F37" s="268" t="s">
        <v>103</v>
      </c>
      <c r="G37" s="320">
        <v>843</v>
      </c>
      <c r="H37" s="321">
        <v>10</v>
      </c>
      <c r="I37" s="322" t="s">
        <v>18</v>
      </c>
      <c r="J37" s="318" t="s">
        <v>209</v>
      </c>
      <c r="K37" s="308">
        <v>310</v>
      </c>
      <c r="L37" s="310">
        <v>6127.1</v>
      </c>
      <c r="M37" s="323">
        <v>7758</v>
      </c>
      <c r="N37" s="310">
        <v>7750.2</v>
      </c>
      <c r="O37" s="311">
        <v>7750.2</v>
      </c>
      <c r="P37" s="310">
        <v>7750.2</v>
      </c>
      <c r="Q37" s="310">
        <f t="shared" si="17"/>
        <v>8137.71</v>
      </c>
      <c r="R37" s="310">
        <f t="shared" si="18"/>
        <v>8463.2183999999997</v>
      </c>
      <c r="S37" s="312">
        <f t="shared" ref="S37:U37" si="27">R37*1.04</f>
        <v>8801.747136</v>
      </c>
      <c r="T37" s="312">
        <f t="shared" si="27"/>
        <v>9153.8170214399997</v>
      </c>
      <c r="U37" s="312">
        <f t="shared" si="27"/>
        <v>9519.9697022975997</v>
      </c>
    </row>
    <row r="38" spans="1:21" ht="38.25" hidden="1" customHeight="1">
      <c r="A38" s="309" t="s">
        <v>10</v>
      </c>
      <c r="B38" s="309" t="s">
        <v>13</v>
      </c>
      <c r="C38" s="309" t="s">
        <v>13</v>
      </c>
      <c r="D38" s="309" t="s">
        <v>32</v>
      </c>
      <c r="E38" s="272" t="s">
        <v>33</v>
      </c>
      <c r="F38" s="268" t="s">
        <v>103</v>
      </c>
      <c r="G38" s="320">
        <v>843</v>
      </c>
      <c r="H38" s="321">
        <v>10</v>
      </c>
      <c r="I38" s="322" t="s">
        <v>18</v>
      </c>
      <c r="J38" s="318" t="s">
        <v>210</v>
      </c>
      <c r="K38" s="308" t="s">
        <v>200</v>
      </c>
      <c r="L38" s="310"/>
      <c r="M38" s="323">
        <f>23051.2-5618</f>
        <v>17433.2</v>
      </c>
      <c r="N38" s="310">
        <v>19453.400000000001</v>
      </c>
      <c r="O38" s="311">
        <v>19453.400000000001</v>
      </c>
      <c r="P38" s="310">
        <v>19453.400000000001</v>
      </c>
      <c r="Q38" s="310">
        <f t="shared" si="17"/>
        <v>20426.070000000003</v>
      </c>
      <c r="R38" s="310">
        <f t="shared" si="18"/>
        <v>21243.112800000003</v>
      </c>
      <c r="S38" s="312">
        <f t="shared" ref="S38:U38" si="28">R38*1.04</f>
        <v>22092.837312000003</v>
      </c>
      <c r="T38" s="312">
        <f t="shared" si="28"/>
        <v>22976.550804480004</v>
      </c>
      <c r="U38" s="312">
        <f t="shared" si="28"/>
        <v>23895.612836659206</v>
      </c>
    </row>
    <row r="39" spans="1:21" ht="38.25" hidden="1" customHeight="1">
      <c r="A39" s="309" t="s">
        <v>10</v>
      </c>
      <c r="B39" s="309" t="s">
        <v>13</v>
      </c>
      <c r="C39" s="309" t="s">
        <v>13</v>
      </c>
      <c r="D39" s="309" t="s">
        <v>34</v>
      </c>
      <c r="E39" s="272" t="s">
        <v>35</v>
      </c>
      <c r="F39" s="268" t="s">
        <v>103</v>
      </c>
      <c r="G39" s="320">
        <v>843</v>
      </c>
      <c r="H39" s="321">
        <v>10</v>
      </c>
      <c r="I39" s="322" t="s">
        <v>18</v>
      </c>
      <c r="J39" s="318" t="s">
        <v>211</v>
      </c>
      <c r="K39" s="308" t="s">
        <v>200</v>
      </c>
      <c r="L39" s="310"/>
      <c r="M39" s="323">
        <f>5919.3-524</f>
        <v>5395.3</v>
      </c>
      <c r="N39" s="310">
        <v>4881.8999999999996</v>
      </c>
      <c r="O39" s="311">
        <v>4881.8999999999996</v>
      </c>
      <c r="P39" s="310">
        <v>4881.8999999999996</v>
      </c>
      <c r="Q39" s="310">
        <f t="shared" si="17"/>
        <v>5125.9949999999999</v>
      </c>
      <c r="R39" s="310">
        <f t="shared" si="18"/>
        <v>5331.0348000000004</v>
      </c>
      <c r="S39" s="312">
        <f t="shared" ref="S39:U39" si="29">R39*1.04</f>
        <v>5544.2761920000003</v>
      </c>
      <c r="T39" s="312">
        <f t="shared" si="29"/>
        <v>5766.0472396800005</v>
      </c>
      <c r="U39" s="312">
        <f t="shared" si="29"/>
        <v>5996.6891292672008</v>
      </c>
    </row>
    <row r="40" spans="1:21" ht="38.25" hidden="1" customHeight="1">
      <c r="A40" s="309" t="s">
        <v>10</v>
      </c>
      <c r="B40" s="309" t="s">
        <v>13</v>
      </c>
      <c r="C40" s="309" t="s">
        <v>13</v>
      </c>
      <c r="D40" s="309" t="s">
        <v>36</v>
      </c>
      <c r="E40" s="272" t="s">
        <v>37</v>
      </c>
      <c r="F40" s="268" t="s">
        <v>103</v>
      </c>
      <c r="G40" s="320">
        <v>843</v>
      </c>
      <c r="H40" s="321">
        <v>10</v>
      </c>
      <c r="I40" s="322" t="s">
        <v>18</v>
      </c>
      <c r="J40" s="318" t="s">
        <v>212</v>
      </c>
      <c r="K40" s="308" t="s">
        <v>200</v>
      </c>
      <c r="L40" s="310"/>
      <c r="M40" s="323">
        <v>585.1</v>
      </c>
      <c r="N40" s="310">
        <v>524.70000000000005</v>
      </c>
      <c r="O40" s="311">
        <v>524.70000000000005</v>
      </c>
      <c r="P40" s="310">
        <v>524.70000000000005</v>
      </c>
      <c r="Q40" s="310">
        <f t="shared" si="17"/>
        <v>550.93500000000006</v>
      </c>
      <c r="R40" s="310">
        <f t="shared" si="18"/>
        <v>572.97240000000011</v>
      </c>
      <c r="S40" s="312">
        <f t="shared" ref="S40:U40" si="30">R40*1.04</f>
        <v>595.89129600000012</v>
      </c>
      <c r="T40" s="312">
        <f t="shared" si="30"/>
        <v>619.72694784000021</v>
      </c>
      <c r="U40" s="312">
        <f t="shared" si="30"/>
        <v>644.51602575360027</v>
      </c>
    </row>
    <row r="41" spans="1:21" ht="38.25" hidden="1" customHeight="1">
      <c r="A41" s="309" t="s">
        <v>10</v>
      </c>
      <c r="B41" s="309" t="s">
        <v>13</v>
      </c>
      <c r="C41" s="309" t="s">
        <v>13</v>
      </c>
      <c r="D41" s="309" t="s">
        <v>38</v>
      </c>
      <c r="E41" s="272" t="s">
        <v>39</v>
      </c>
      <c r="F41" s="268" t="s">
        <v>103</v>
      </c>
      <c r="G41" s="320">
        <v>843</v>
      </c>
      <c r="H41" s="321">
        <v>10</v>
      </c>
      <c r="I41" s="322" t="s">
        <v>32</v>
      </c>
      <c r="J41" s="318" t="s">
        <v>213</v>
      </c>
      <c r="K41" s="308">
        <v>310</v>
      </c>
      <c r="L41" s="310"/>
      <c r="M41" s="323">
        <f>89491.9-4019</f>
        <v>85472.9</v>
      </c>
      <c r="N41" s="310">
        <v>84155.1</v>
      </c>
      <c r="O41" s="311">
        <v>84155.1</v>
      </c>
      <c r="P41" s="310">
        <v>84155.1</v>
      </c>
      <c r="Q41" s="310">
        <f t="shared" si="17"/>
        <v>88362.85500000001</v>
      </c>
      <c r="R41" s="310">
        <f t="shared" si="18"/>
        <v>91897.369200000016</v>
      </c>
      <c r="S41" s="312">
        <f t="shared" ref="S41:U41" si="31">R41*1.04</f>
        <v>95573.263968000014</v>
      </c>
      <c r="T41" s="312">
        <f t="shared" si="31"/>
        <v>99396.194526720021</v>
      </c>
      <c r="U41" s="312">
        <f t="shared" si="31"/>
        <v>103372.04230778883</v>
      </c>
    </row>
    <row r="42" spans="1:21" ht="38.25" hidden="1" customHeight="1">
      <c r="A42" s="309" t="s">
        <v>10</v>
      </c>
      <c r="B42" s="309" t="s">
        <v>13</v>
      </c>
      <c r="C42" s="309" t="s">
        <v>13</v>
      </c>
      <c r="D42" s="309" t="s">
        <v>40</v>
      </c>
      <c r="E42" s="272" t="s">
        <v>41</v>
      </c>
      <c r="F42" s="268" t="s">
        <v>103</v>
      </c>
      <c r="G42" s="320">
        <v>843</v>
      </c>
      <c r="H42" s="321">
        <v>10</v>
      </c>
      <c r="I42" s="322" t="s">
        <v>16</v>
      </c>
      <c r="J42" s="318" t="s">
        <v>214</v>
      </c>
      <c r="K42" s="308" t="s">
        <v>215</v>
      </c>
      <c r="L42" s="310"/>
      <c r="M42" s="323">
        <v>2386.1999999999998</v>
      </c>
      <c r="N42" s="310">
        <v>2383.8000000000002</v>
      </c>
      <c r="O42" s="311">
        <v>2383.8000000000002</v>
      </c>
      <c r="P42" s="310">
        <v>2383.8000000000002</v>
      </c>
      <c r="Q42" s="310">
        <f t="shared" si="17"/>
        <v>2502.9900000000002</v>
      </c>
      <c r="R42" s="310">
        <f t="shared" si="18"/>
        <v>2603.1096000000002</v>
      </c>
      <c r="S42" s="312">
        <f t="shared" ref="S42:U42" si="32">R42*1.04</f>
        <v>2707.2339840000004</v>
      </c>
      <c r="T42" s="312">
        <f t="shared" si="32"/>
        <v>2815.5233433600006</v>
      </c>
      <c r="U42" s="312">
        <f t="shared" si="32"/>
        <v>2928.1442770944009</v>
      </c>
    </row>
    <row r="43" spans="1:21" ht="38.25" hidden="1" customHeight="1">
      <c r="A43" s="309" t="s">
        <v>10</v>
      </c>
      <c r="B43" s="309" t="s">
        <v>13</v>
      </c>
      <c r="C43" s="309" t="s">
        <v>13</v>
      </c>
      <c r="D43" s="309" t="s">
        <v>42</v>
      </c>
      <c r="E43" s="272" t="s">
        <v>43</v>
      </c>
      <c r="F43" s="268" t="s">
        <v>103</v>
      </c>
      <c r="G43" s="320">
        <v>843</v>
      </c>
      <c r="H43" s="321">
        <v>10</v>
      </c>
      <c r="I43" s="322" t="s">
        <v>18</v>
      </c>
      <c r="J43" s="318" t="s">
        <v>216</v>
      </c>
      <c r="K43" s="308">
        <v>310</v>
      </c>
      <c r="L43" s="310"/>
      <c r="M43" s="323">
        <f>41311.1-5000-2837</f>
        <v>33474.1</v>
      </c>
      <c r="N43" s="310">
        <v>0</v>
      </c>
      <c r="O43" s="311">
        <v>0</v>
      </c>
      <c r="P43" s="310">
        <v>0</v>
      </c>
      <c r="Q43" s="310">
        <f t="shared" si="17"/>
        <v>0</v>
      </c>
      <c r="R43" s="310">
        <f t="shared" si="18"/>
        <v>0</v>
      </c>
      <c r="S43" s="312">
        <f t="shared" ref="S43:U43" si="33">R43*1.04</f>
        <v>0</v>
      </c>
      <c r="T43" s="312">
        <f t="shared" si="33"/>
        <v>0</v>
      </c>
      <c r="U43" s="312">
        <f t="shared" si="33"/>
        <v>0</v>
      </c>
    </row>
    <row r="44" spans="1:21" ht="76.5" hidden="1" customHeight="1">
      <c r="A44" s="309" t="s">
        <v>10</v>
      </c>
      <c r="B44" s="309" t="s">
        <v>13</v>
      </c>
      <c r="C44" s="309" t="s">
        <v>13</v>
      </c>
      <c r="D44" s="309" t="s">
        <v>44</v>
      </c>
      <c r="E44" s="272" t="s">
        <v>45</v>
      </c>
      <c r="F44" s="268" t="s">
        <v>103</v>
      </c>
      <c r="G44" s="320">
        <v>843</v>
      </c>
      <c r="H44" s="321">
        <v>10</v>
      </c>
      <c r="I44" s="322" t="s">
        <v>13</v>
      </c>
      <c r="J44" s="318" t="s">
        <v>217</v>
      </c>
      <c r="K44" s="308">
        <v>310</v>
      </c>
      <c r="L44" s="310"/>
      <c r="M44" s="323">
        <f>520.8-110</f>
        <v>410.79999999999995</v>
      </c>
      <c r="N44" s="310">
        <v>0</v>
      </c>
      <c r="O44" s="311">
        <v>0</v>
      </c>
      <c r="P44" s="310">
        <v>0</v>
      </c>
      <c r="Q44" s="310">
        <f t="shared" si="17"/>
        <v>0</v>
      </c>
      <c r="R44" s="310">
        <f t="shared" si="18"/>
        <v>0</v>
      </c>
      <c r="S44" s="312">
        <f t="shared" ref="S44:U44" si="34">R44*1.04</f>
        <v>0</v>
      </c>
      <c r="T44" s="312">
        <f t="shared" si="34"/>
        <v>0</v>
      </c>
      <c r="U44" s="312">
        <f t="shared" si="34"/>
        <v>0</v>
      </c>
    </row>
    <row r="45" spans="1:21" ht="38.25" hidden="1" customHeight="1">
      <c r="A45" s="309" t="s">
        <v>10</v>
      </c>
      <c r="B45" s="309" t="s">
        <v>13</v>
      </c>
      <c r="C45" s="309" t="s">
        <v>13</v>
      </c>
      <c r="D45" s="309" t="s">
        <v>46</v>
      </c>
      <c r="E45" s="272" t="s">
        <v>47</v>
      </c>
      <c r="F45" s="272" t="s">
        <v>103</v>
      </c>
      <c r="G45" s="320">
        <v>843</v>
      </c>
      <c r="H45" s="321">
        <v>10</v>
      </c>
      <c r="I45" s="322" t="s">
        <v>18</v>
      </c>
      <c r="J45" s="318" t="s">
        <v>218</v>
      </c>
      <c r="K45" s="208" t="s">
        <v>219</v>
      </c>
      <c r="L45" s="323">
        <v>35738.9</v>
      </c>
      <c r="M45" s="323">
        <v>36399.1</v>
      </c>
      <c r="N45" s="310">
        <v>40211.800000000003</v>
      </c>
      <c r="O45" s="311">
        <v>40211.800000000003</v>
      </c>
      <c r="P45" s="310">
        <v>40211.800000000003</v>
      </c>
      <c r="Q45" s="310">
        <f t="shared" si="17"/>
        <v>42222.390000000007</v>
      </c>
      <c r="R45" s="310">
        <f t="shared" si="18"/>
        <v>43911.28560000001</v>
      </c>
      <c r="S45" s="312">
        <f t="shared" ref="S45:U45" si="35">R45*1.04</f>
        <v>45667.737024000009</v>
      </c>
      <c r="T45" s="312">
        <f t="shared" si="35"/>
        <v>47494.446504960011</v>
      </c>
      <c r="U45" s="312">
        <f t="shared" si="35"/>
        <v>49394.224365158414</v>
      </c>
    </row>
    <row r="46" spans="1:21" ht="38.25" hidden="1" customHeight="1">
      <c r="A46" s="309" t="s">
        <v>10</v>
      </c>
      <c r="B46" s="309" t="s">
        <v>13</v>
      </c>
      <c r="C46" s="309" t="s">
        <v>13</v>
      </c>
      <c r="D46" s="309" t="s">
        <v>48</v>
      </c>
      <c r="E46" s="272" t="s">
        <v>49</v>
      </c>
      <c r="F46" s="272" t="s">
        <v>103</v>
      </c>
      <c r="G46" s="320">
        <v>843</v>
      </c>
      <c r="H46" s="321">
        <v>10</v>
      </c>
      <c r="I46" s="322" t="s">
        <v>18</v>
      </c>
      <c r="J46" s="318" t="s">
        <v>220</v>
      </c>
      <c r="K46" s="308">
        <v>320</v>
      </c>
      <c r="L46" s="323"/>
      <c r="M46" s="323">
        <f>275.1-14.7</f>
        <v>260.40000000000003</v>
      </c>
      <c r="N46" s="310">
        <v>222.4</v>
      </c>
      <c r="O46" s="311">
        <v>222.4</v>
      </c>
      <c r="P46" s="310">
        <v>222.4</v>
      </c>
      <c r="Q46" s="310">
        <f t="shared" si="17"/>
        <v>233.52</v>
      </c>
      <c r="R46" s="310">
        <f t="shared" si="18"/>
        <v>242.86080000000001</v>
      </c>
      <c r="S46" s="312">
        <f t="shared" ref="S46:U46" si="36">R46*1.04</f>
        <v>252.57523200000003</v>
      </c>
      <c r="T46" s="312">
        <f t="shared" si="36"/>
        <v>262.67824128000007</v>
      </c>
      <c r="U46" s="312">
        <f t="shared" si="36"/>
        <v>273.18537093120005</v>
      </c>
    </row>
    <row r="47" spans="1:21" ht="38.25" hidden="1" customHeight="1">
      <c r="A47" s="309" t="s">
        <v>10</v>
      </c>
      <c r="B47" s="309" t="s">
        <v>13</v>
      </c>
      <c r="C47" s="309" t="s">
        <v>13</v>
      </c>
      <c r="D47" s="309" t="s">
        <v>50</v>
      </c>
      <c r="E47" s="272" t="s">
        <v>51</v>
      </c>
      <c r="F47" s="272" t="s">
        <v>103</v>
      </c>
      <c r="G47" s="320">
        <v>843</v>
      </c>
      <c r="H47" s="321">
        <v>10</v>
      </c>
      <c r="I47" s="322" t="s">
        <v>18</v>
      </c>
      <c r="J47" s="318" t="s">
        <v>221</v>
      </c>
      <c r="K47" s="308">
        <v>320</v>
      </c>
      <c r="L47" s="323"/>
      <c r="M47" s="323">
        <v>102.2</v>
      </c>
      <c r="N47" s="310">
        <v>0</v>
      </c>
      <c r="O47" s="311">
        <v>0</v>
      </c>
      <c r="P47" s="310">
        <v>0</v>
      </c>
      <c r="Q47" s="310">
        <f t="shared" si="17"/>
        <v>0</v>
      </c>
      <c r="R47" s="310">
        <f t="shared" si="18"/>
        <v>0</v>
      </c>
      <c r="S47" s="312">
        <f t="shared" ref="S47:U47" si="37">R47*1.04</f>
        <v>0</v>
      </c>
      <c r="T47" s="312">
        <f t="shared" si="37"/>
        <v>0</v>
      </c>
      <c r="U47" s="312">
        <f t="shared" si="37"/>
        <v>0</v>
      </c>
    </row>
    <row r="48" spans="1:21" ht="38.25" customHeight="1">
      <c r="A48" s="309" t="s">
        <v>10</v>
      </c>
      <c r="B48" s="309" t="s">
        <v>11</v>
      </c>
      <c r="C48" s="309" t="s">
        <v>18</v>
      </c>
      <c r="D48" s="309"/>
      <c r="E48" s="272" t="s">
        <v>52</v>
      </c>
      <c r="F48" s="268" t="s">
        <v>3</v>
      </c>
      <c r="G48" s="320">
        <v>843</v>
      </c>
      <c r="H48" s="321">
        <v>10</v>
      </c>
      <c r="I48" s="322" t="s">
        <v>18</v>
      </c>
      <c r="J48" s="318" t="s">
        <v>222</v>
      </c>
      <c r="K48" s="308">
        <v>320</v>
      </c>
      <c r="L48" s="323">
        <f>L49</f>
        <v>13245</v>
      </c>
      <c r="M48" s="323">
        <v>5439.5</v>
      </c>
      <c r="N48" s="323">
        <v>8826.1322300000011</v>
      </c>
      <c r="O48" s="319">
        <v>8696.7000000000007</v>
      </c>
      <c r="P48" s="323">
        <v>9229</v>
      </c>
      <c r="Q48" s="310">
        <v>9229</v>
      </c>
      <c r="R48" s="310">
        <v>9229</v>
      </c>
      <c r="S48" s="312">
        <f t="shared" ref="S48:U48" si="38">R48*1.04</f>
        <v>9598.16</v>
      </c>
      <c r="T48" s="312">
        <f t="shared" si="38"/>
        <v>9982.0864000000001</v>
      </c>
      <c r="U48" s="312">
        <f t="shared" si="38"/>
        <v>10381.369856000001</v>
      </c>
    </row>
    <row r="49" spans="1:21" ht="38.25" hidden="1" customHeight="1">
      <c r="A49" s="309" t="s">
        <v>10</v>
      </c>
      <c r="B49" s="309" t="s">
        <v>13</v>
      </c>
      <c r="C49" s="309" t="s">
        <v>18</v>
      </c>
      <c r="D49" s="309" t="s">
        <v>13</v>
      </c>
      <c r="E49" s="272" t="s">
        <v>223</v>
      </c>
      <c r="F49" s="268" t="s">
        <v>3</v>
      </c>
      <c r="G49" s="320">
        <v>843</v>
      </c>
      <c r="H49" s="321">
        <v>10</v>
      </c>
      <c r="I49" s="322" t="s">
        <v>18</v>
      </c>
      <c r="J49" s="318" t="s">
        <v>224</v>
      </c>
      <c r="K49" s="308">
        <v>320</v>
      </c>
      <c r="L49" s="323">
        <f>L75</f>
        <v>13245</v>
      </c>
      <c r="M49" s="323">
        <f>13000-7034.8</f>
        <v>5965.2</v>
      </c>
      <c r="N49" s="310">
        <v>15484.5</v>
      </c>
      <c r="O49" s="311">
        <v>15484.5</v>
      </c>
      <c r="P49" s="310">
        <v>15484.5</v>
      </c>
      <c r="Q49" s="310">
        <f t="shared" si="17"/>
        <v>16258.725</v>
      </c>
      <c r="R49" s="310">
        <f t="shared" si="18"/>
        <v>16909.074000000001</v>
      </c>
      <c r="S49" s="312">
        <f t="shared" ref="S49:U49" si="39">R49*1.04</f>
        <v>17585.436960000003</v>
      </c>
      <c r="T49" s="312">
        <f t="shared" si="39"/>
        <v>18288.854438400005</v>
      </c>
      <c r="U49" s="312">
        <f t="shared" si="39"/>
        <v>19020.408615936005</v>
      </c>
    </row>
    <row r="50" spans="1:21" ht="55.5" customHeight="1">
      <c r="A50" s="309" t="s">
        <v>10</v>
      </c>
      <c r="B50" s="309" t="s">
        <v>11</v>
      </c>
      <c r="C50" s="309" t="s">
        <v>20</v>
      </c>
      <c r="D50" s="309"/>
      <c r="E50" s="272" t="s">
        <v>53</v>
      </c>
      <c r="F50" s="268" t="s">
        <v>3</v>
      </c>
      <c r="G50" s="320">
        <v>843</v>
      </c>
      <c r="H50" s="321">
        <v>10</v>
      </c>
      <c r="I50" s="322" t="s">
        <v>18</v>
      </c>
      <c r="J50" s="318" t="s">
        <v>225</v>
      </c>
      <c r="K50" s="308">
        <v>320</v>
      </c>
      <c r="L50" s="323">
        <f>L51</f>
        <v>360861.8</v>
      </c>
      <c r="M50" s="323">
        <v>333680.5</v>
      </c>
      <c r="N50" s="323">
        <f>N51</f>
        <v>0</v>
      </c>
      <c r="O50" s="323">
        <f>O51</f>
        <v>0</v>
      </c>
      <c r="P50" s="323">
        <f>P51</f>
        <v>0</v>
      </c>
      <c r="Q50" s="310">
        <f t="shared" si="17"/>
        <v>0</v>
      </c>
      <c r="R50" s="310">
        <f t="shared" si="18"/>
        <v>0</v>
      </c>
      <c r="S50" s="312">
        <f t="shared" ref="S50:U50" si="40">R50*1.04</f>
        <v>0</v>
      </c>
      <c r="T50" s="312">
        <f t="shared" si="40"/>
        <v>0</v>
      </c>
      <c r="U50" s="312">
        <f t="shared" si="40"/>
        <v>0</v>
      </c>
    </row>
    <row r="51" spans="1:21" ht="38.25" hidden="1" customHeight="1">
      <c r="A51" s="309" t="s">
        <v>10</v>
      </c>
      <c r="B51" s="309" t="s">
        <v>13</v>
      </c>
      <c r="C51" s="309" t="s">
        <v>20</v>
      </c>
      <c r="D51" s="309" t="s">
        <v>13</v>
      </c>
      <c r="E51" s="272" t="s">
        <v>54</v>
      </c>
      <c r="F51" s="268" t="s">
        <v>3</v>
      </c>
      <c r="G51" s="320">
        <v>843</v>
      </c>
      <c r="H51" s="321">
        <v>10</v>
      </c>
      <c r="I51" s="322" t="s">
        <v>18</v>
      </c>
      <c r="J51" s="318" t="s">
        <v>226</v>
      </c>
      <c r="K51" s="308"/>
      <c r="L51" s="323">
        <f>L76</f>
        <v>360861.8</v>
      </c>
      <c r="M51" s="323">
        <v>333837.5</v>
      </c>
      <c r="N51" s="310">
        <f>M76*1.05</f>
        <v>0</v>
      </c>
      <c r="O51" s="311">
        <f>N76*1.05</f>
        <v>0</v>
      </c>
      <c r="P51" s="310">
        <f>O76*1.05</f>
        <v>0</v>
      </c>
      <c r="Q51" s="310">
        <f t="shared" si="17"/>
        <v>0</v>
      </c>
      <c r="R51" s="310">
        <f t="shared" si="18"/>
        <v>0</v>
      </c>
      <c r="S51" s="312">
        <f t="shared" ref="S51:U51" si="41">R51*1.04</f>
        <v>0</v>
      </c>
      <c r="T51" s="312">
        <f t="shared" si="41"/>
        <v>0</v>
      </c>
      <c r="U51" s="312">
        <f t="shared" si="41"/>
        <v>0</v>
      </c>
    </row>
    <row r="52" spans="1:21" ht="54.75" customHeight="1">
      <c r="A52" s="309" t="s">
        <v>10</v>
      </c>
      <c r="B52" s="309" t="s">
        <v>11</v>
      </c>
      <c r="C52" s="309" t="s">
        <v>22</v>
      </c>
      <c r="D52" s="309"/>
      <c r="E52" s="272" t="s">
        <v>55</v>
      </c>
      <c r="F52" s="268" t="s">
        <v>3</v>
      </c>
      <c r="G52" s="320">
        <v>843</v>
      </c>
      <c r="H52" s="321">
        <v>10</v>
      </c>
      <c r="I52" s="322" t="s">
        <v>18</v>
      </c>
      <c r="J52" s="318" t="s">
        <v>227</v>
      </c>
      <c r="K52" s="308">
        <v>320</v>
      </c>
      <c r="L52" s="323">
        <f>L53</f>
        <v>36893.5</v>
      </c>
      <c r="M52" s="323">
        <v>39904.1</v>
      </c>
      <c r="N52" s="323">
        <v>0</v>
      </c>
      <c r="O52" s="323">
        <v>0</v>
      </c>
      <c r="P52" s="323">
        <v>0</v>
      </c>
      <c r="Q52" s="310">
        <f t="shared" si="17"/>
        <v>0</v>
      </c>
      <c r="R52" s="310">
        <f t="shared" si="18"/>
        <v>0</v>
      </c>
      <c r="S52" s="312">
        <f t="shared" ref="S52:U52" si="42">R52*1.04</f>
        <v>0</v>
      </c>
      <c r="T52" s="312">
        <f t="shared" si="42"/>
        <v>0</v>
      </c>
      <c r="U52" s="312">
        <f t="shared" si="42"/>
        <v>0</v>
      </c>
    </row>
    <row r="53" spans="1:21" ht="38.25" hidden="1" customHeight="1">
      <c r="A53" s="309" t="s">
        <v>10</v>
      </c>
      <c r="B53" s="309" t="s">
        <v>13</v>
      </c>
      <c r="C53" s="309" t="s">
        <v>22</v>
      </c>
      <c r="D53" s="309" t="s">
        <v>13</v>
      </c>
      <c r="E53" s="272" t="s">
        <v>56</v>
      </c>
      <c r="F53" s="272" t="s">
        <v>103</v>
      </c>
      <c r="G53" s="320">
        <v>843</v>
      </c>
      <c r="H53" s="321">
        <v>10</v>
      </c>
      <c r="I53" s="322" t="s">
        <v>18</v>
      </c>
      <c r="J53" s="318" t="s">
        <v>228</v>
      </c>
      <c r="K53" s="308"/>
      <c r="L53" s="323">
        <f>L77</f>
        <v>36893.5</v>
      </c>
      <c r="M53" s="311">
        <v>35061.599999999999</v>
      </c>
      <c r="N53" s="310">
        <f>M53*1.05</f>
        <v>36814.68</v>
      </c>
      <c r="O53" s="311">
        <f>N53*1.05</f>
        <v>38655.414000000004</v>
      </c>
      <c r="P53" s="310">
        <f>O53*1.05</f>
        <v>40588.184700000005</v>
      </c>
      <c r="Q53" s="310">
        <f t="shared" si="17"/>
        <v>42617.593935000004</v>
      </c>
      <c r="R53" s="310">
        <f t="shared" si="18"/>
        <v>44322.297692400003</v>
      </c>
      <c r="S53" s="312">
        <f t="shared" ref="S53:U53" si="43">R53*1.04</f>
        <v>46095.189600096004</v>
      </c>
      <c r="T53" s="312">
        <f t="shared" si="43"/>
        <v>47938.997184099848</v>
      </c>
      <c r="U53" s="312">
        <f t="shared" si="43"/>
        <v>49856.557071463845</v>
      </c>
    </row>
    <row r="54" spans="1:21" ht="38.25" customHeight="1">
      <c r="A54" s="309" t="s">
        <v>10</v>
      </c>
      <c r="B54" s="309" t="s">
        <v>11</v>
      </c>
      <c r="C54" s="309" t="s">
        <v>24</v>
      </c>
      <c r="D54" s="309"/>
      <c r="E54" s="272" t="s">
        <v>451</v>
      </c>
      <c r="F54" s="268" t="s">
        <v>3</v>
      </c>
      <c r="G54" s="320">
        <v>843</v>
      </c>
      <c r="H54" s="321">
        <v>10</v>
      </c>
      <c r="I54" s="322" t="s">
        <v>24</v>
      </c>
      <c r="J54" s="318" t="s">
        <v>229</v>
      </c>
      <c r="K54" s="308">
        <v>630</v>
      </c>
      <c r="L54" s="311">
        <f>SUM(L55:L65)</f>
        <v>2753.9</v>
      </c>
      <c r="M54" s="323">
        <v>3287.9</v>
      </c>
      <c r="N54" s="311">
        <v>2960.8</v>
      </c>
      <c r="O54" s="319">
        <v>2640.9</v>
      </c>
      <c r="P54" s="311">
        <v>3000</v>
      </c>
      <c r="Q54" s="310">
        <v>740.2</v>
      </c>
      <c r="R54" s="310">
        <v>740.2</v>
      </c>
      <c r="S54" s="312">
        <f t="shared" ref="S54:U54" si="44">R54*1.04</f>
        <v>769.80800000000011</v>
      </c>
      <c r="T54" s="312">
        <f t="shared" si="44"/>
        <v>800.60032000000012</v>
      </c>
      <c r="U54" s="312">
        <f t="shared" si="44"/>
        <v>832.62433280000016</v>
      </c>
    </row>
    <row r="55" spans="1:21" ht="38.25" hidden="1" customHeight="1">
      <c r="A55" s="309" t="s">
        <v>10</v>
      </c>
      <c r="B55" s="309" t="s">
        <v>13</v>
      </c>
      <c r="C55" s="309" t="s">
        <v>24</v>
      </c>
      <c r="D55" s="309" t="s">
        <v>13</v>
      </c>
      <c r="E55" s="272" t="s">
        <v>57</v>
      </c>
      <c r="F55" s="272" t="s">
        <v>103</v>
      </c>
      <c r="G55" s="320">
        <v>843</v>
      </c>
      <c r="H55" s="321">
        <v>10</v>
      </c>
      <c r="I55" s="322" t="s">
        <v>24</v>
      </c>
      <c r="J55" s="318" t="s">
        <v>230</v>
      </c>
      <c r="K55" s="308">
        <v>630</v>
      </c>
      <c r="L55" s="323">
        <v>381.3</v>
      </c>
      <c r="M55" s="311">
        <v>508.4</v>
      </c>
      <c r="N55" s="310">
        <v>507.9</v>
      </c>
      <c r="O55" s="311">
        <f>N55*1.05</f>
        <v>533.29499999999996</v>
      </c>
      <c r="P55" s="310">
        <f>O55*1.05</f>
        <v>559.95974999999999</v>
      </c>
      <c r="Q55" s="310">
        <f t="shared" ref="Q55:Q78" si="45">P55*1.05</f>
        <v>587.95773750000001</v>
      </c>
      <c r="R55" s="310"/>
      <c r="S55" s="312">
        <f t="shared" ref="S55:U55" si="46">R55*1.04</f>
        <v>0</v>
      </c>
      <c r="T55" s="312">
        <f t="shared" si="46"/>
        <v>0</v>
      </c>
      <c r="U55" s="312">
        <f t="shared" si="46"/>
        <v>0</v>
      </c>
    </row>
    <row r="56" spans="1:21" ht="38.25" hidden="1" customHeight="1">
      <c r="A56" s="309" t="s">
        <v>10</v>
      </c>
      <c r="B56" s="309" t="s">
        <v>13</v>
      </c>
      <c r="C56" s="309" t="s">
        <v>24</v>
      </c>
      <c r="D56" s="309" t="s">
        <v>16</v>
      </c>
      <c r="E56" s="272" t="s">
        <v>58</v>
      </c>
      <c r="F56" s="272" t="s">
        <v>103</v>
      </c>
      <c r="G56" s="320">
        <v>843</v>
      </c>
      <c r="H56" s="321">
        <v>10</v>
      </c>
      <c r="I56" s="322" t="s">
        <v>24</v>
      </c>
      <c r="J56" s="318" t="s">
        <v>231</v>
      </c>
      <c r="K56" s="308">
        <v>630</v>
      </c>
      <c r="L56" s="323">
        <v>174.2</v>
      </c>
      <c r="M56" s="311">
        <v>232.3</v>
      </c>
      <c r="N56" s="310">
        <v>232.1</v>
      </c>
      <c r="O56" s="311">
        <f t="shared" ref="O56:P65" si="47">N56*1.05</f>
        <v>243.70500000000001</v>
      </c>
      <c r="P56" s="310">
        <f t="shared" si="47"/>
        <v>255.89025000000004</v>
      </c>
      <c r="Q56" s="310">
        <f t="shared" si="45"/>
        <v>268.68476250000003</v>
      </c>
      <c r="R56" s="310"/>
      <c r="S56" s="312">
        <f t="shared" ref="S56:U56" si="48">R56*1.04</f>
        <v>0</v>
      </c>
      <c r="T56" s="312">
        <f t="shared" si="48"/>
        <v>0</v>
      </c>
      <c r="U56" s="312">
        <f t="shared" si="48"/>
        <v>0</v>
      </c>
    </row>
    <row r="57" spans="1:21" ht="38.25" hidden="1" customHeight="1">
      <c r="A57" s="309" t="s">
        <v>10</v>
      </c>
      <c r="B57" s="309" t="s">
        <v>13</v>
      </c>
      <c r="C57" s="309" t="s">
        <v>24</v>
      </c>
      <c r="D57" s="309" t="s">
        <v>18</v>
      </c>
      <c r="E57" s="272" t="s">
        <v>59</v>
      </c>
      <c r="F57" s="272" t="s">
        <v>103</v>
      </c>
      <c r="G57" s="320">
        <v>843</v>
      </c>
      <c r="H57" s="321">
        <v>10</v>
      </c>
      <c r="I57" s="322" t="s">
        <v>24</v>
      </c>
      <c r="J57" s="318" t="s">
        <v>232</v>
      </c>
      <c r="K57" s="308">
        <v>630</v>
      </c>
      <c r="L57" s="323">
        <v>103.7</v>
      </c>
      <c r="M57" s="311">
        <v>138.19999999999999</v>
      </c>
      <c r="N57" s="310">
        <v>138.1</v>
      </c>
      <c r="O57" s="311">
        <f t="shared" si="47"/>
        <v>145.005</v>
      </c>
      <c r="P57" s="310">
        <f t="shared" si="47"/>
        <v>152.25524999999999</v>
      </c>
      <c r="Q57" s="310">
        <f t="shared" si="45"/>
        <v>159.86801249999999</v>
      </c>
      <c r="R57" s="310"/>
      <c r="S57" s="312">
        <f t="shared" ref="S57:U57" si="49">R57*1.04</f>
        <v>0</v>
      </c>
      <c r="T57" s="312">
        <f t="shared" si="49"/>
        <v>0</v>
      </c>
      <c r="U57" s="312">
        <f t="shared" si="49"/>
        <v>0</v>
      </c>
    </row>
    <row r="58" spans="1:21" ht="63.75" hidden="1" customHeight="1">
      <c r="A58" s="309" t="s">
        <v>10</v>
      </c>
      <c r="B58" s="309" t="s">
        <v>13</v>
      </c>
      <c r="C58" s="309" t="s">
        <v>24</v>
      </c>
      <c r="D58" s="309" t="s">
        <v>20</v>
      </c>
      <c r="E58" s="272" t="s">
        <v>60</v>
      </c>
      <c r="F58" s="272" t="s">
        <v>103</v>
      </c>
      <c r="G58" s="320">
        <v>843</v>
      </c>
      <c r="H58" s="321">
        <v>10</v>
      </c>
      <c r="I58" s="322" t="s">
        <v>24</v>
      </c>
      <c r="J58" s="318" t="s">
        <v>233</v>
      </c>
      <c r="K58" s="308">
        <v>630</v>
      </c>
      <c r="L58" s="323">
        <v>19</v>
      </c>
      <c r="M58" s="311">
        <v>25.3</v>
      </c>
      <c r="N58" s="310">
        <v>25.3</v>
      </c>
      <c r="O58" s="311">
        <f t="shared" si="47"/>
        <v>26.565000000000001</v>
      </c>
      <c r="P58" s="310">
        <f t="shared" si="47"/>
        <v>27.893250000000002</v>
      </c>
      <c r="Q58" s="310">
        <f t="shared" si="45"/>
        <v>29.287912500000004</v>
      </c>
      <c r="R58" s="310"/>
      <c r="S58" s="312">
        <f t="shared" ref="S58:U58" si="50">R58*1.04</f>
        <v>0</v>
      </c>
      <c r="T58" s="312">
        <f t="shared" si="50"/>
        <v>0</v>
      </c>
      <c r="U58" s="312">
        <f t="shared" si="50"/>
        <v>0</v>
      </c>
    </row>
    <row r="59" spans="1:21" ht="38.25" hidden="1" customHeight="1">
      <c r="A59" s="309" t="s">
        <v>10</v>
      </c>
      <c r="B59" s="309" t="s">
        <v>13</v>
      </c>
      <c r="C59" s="309" t="s">
        <v>24</v>
      </c>
      <c r="D59" s="309" t="s">
        <v>22</v>
      </c>
      <c r="E59" s="272" t="s">
        <v>61</v>
      </c>
      <c r="F59" s="272" t="s">
        <v>103</v>
      </c>
      <c r="G59" s="320">
        <v>843</v>
      </c>
      <c r="H59" s="321">
        <v>10</v>
      </c>
      <c r="I59" s="322" t="s">
        <v>24</v>
      </c>
      <c r="J59" s="318" t="s">
        <v>234</v>
      </c>
      <c r="K59" s="308">
        <v>630</v>
      </c>
      <c r="L59" s="323">
        <v>75.2</v>
      </c>
      <c r="M59" s="311">
        <v>100.2</v>
      </c>
      <c r="N59" s="310">
        <v>100.1</v>
      </c>
      <c r="O59" s="311">
        <f t="shared" si="47"/>
        <v>105.105</v>
      </c>
      <c r="P59" s="310">
        <f t="shared" si="47"/>
        <v>110.36025000000001</v>
      </c>
      <c r="Q59" s="310">
        <f t="shared" si="45"/>
        <v>115.87826250000002</v>
      </c>
      <c r="R59" s="310"/>
      <c r="S59" s="312">
        <f t="shared" ref="S59:U59" si="51">R59*1.04</f>
        <v>0</v>
      </c>
      <c r="T59" s="312">
        <f t="shared" si="51"/>
        <v>0</v>
      </c>
      <c r="U59" s="312">
        <f t="shared" si="51"/>
        <v>0</v>
      </c>
    </row>
    <row r="60" spans="1:21" ht="38.25" hidden="1" customHeight="1">
      <c r="A60" s="309" t="s">
        <v>10</v>
      </c>
      <c r="B60" s="309" t="s">
        <v>13</v>
      </c>
      <c r="C60" s="309" t="s">
        <v>24</v>
      </c>
      <c r="D60" s="309" t="s">
        <v>24</v>
      </c>
      <c r="E60" s="272" t="s">
        <v>62</v>
      </c>
      <c r="F60" s="272" t="s">
        <v>103</v>
      </c>
      <c r="G60" s="320">
        <v>843</v>
      </c>
      <c r="H60" s="321">
        <v>10</v>
      </c>
      <c r="I60" s="322" t="s">
        <v>24</v>
      </c>
      <c r="J60" s="318" t="s">
        <v>235</v>
      </c>
      <c r="K60" s="308">
        <v>630</v>
      </c>
      <c r="L60" s="323">
        <v>413.9</v>
      </c>
      <c r="M60" s="311">
        <v>413.9</v>
      </c>
      <c r="N60" s="310">
        <v>413.5</v>
      </c>
      <c r="O60" s="311">
        <f t="shared" si="47"/>
        <v>434.17500000000001</v>
      </c>
      <c r="P60" s="310">
        <f t="shared" si="47"/>
        <v>455.88375000000002</v>
      </c>
      <c r="Q60" s="310">
        <f t="shared" si="45"/>
        <v>478.67793750000004</v>
      </c>
      <c r="R60" s="310"/>
      <c r="S60" s="312">
        <f t="shared" ref="S60:U60" si="52">R60*1.04</f>
        <v>0</v>
      </c>
      <c r="T60" s="312">
        <f t="shared" si="52"/>
        <v>0</v>
      </c>
      <c r="U60" s="312">
        <f t="shared" si="52"/>
        <v>0</v>
      </c>
    </row>
    <row r="61" spans="1:21" ht="51" hidden="1" customHeight="1">
      <c r="A61" s="309" t="s">
        <v>10</v>
      </c>
      <c r="B61" s="309" t="s">
        <v>13</v>
      </c>
      <c r="C61" s="309" t="s">
        <v>24</v>
      </c>
      <c r="D61" s="309" t="s">
        <v>26</v>
      </c>
      <c r="E61" s="272" t="s">
        <v>63</v>
      </c>
      <c r="F61" s="272" t="s">
        <v>103</v>
      </c>
      <c r="G61" s="320">
        <v>843</v>
      </c>
      <c r="H61" s="321">
        <v>10</v>
      </c>
      <c r="I61" s="322" t="s">
        <v>24</v>
      </c>
      <c r="J61" s="318" t="s">
        <v>236</v>
      </c>
      <c r="K61" s="308">
        <v>630</v>
      </c>
      <c r="L61" s="323">
        <v>494.4</v>
      </c>
      <c r="M61" s="311">
        <v>494.4</v>
      </c>
      <c r="N61" s="310">
        <v>493.9</v>
      </c>
      <c r="O61" s="311">
        <f t="shared" si="47"/>
        <v>518.59500000000003</v>
      </c>
      <c r="P61" s="310">
        <f t="shared" si="47"/>
        <v>544.52475000000004</v>
      </c>
      <c r="Q61" s="310">
        <f t="shared" si="45"/>
        <v>571.75098750000006</v>
      </c>
      <c r="R61" s="310"/>
      <c r="S61" s="312">
        <f t="shared" ref="S61:U61" si="53">R61*1.04</f>
        <v>0</v>
      </c>
      <c r="T61" s="312">
        <f t="shared" si="53"/>
        <v>0</v>
      </c>
      <c r="U61" s="312">
        <f t="shared" si="53"/>
        <v>0</v>
      </c>
    </row>
    <row r="62" spans="1:21" ht="51" hidden="1" customHeight="1">
      <c r="A62" s="309" t="s">
        <v>10</v>
      </c>
      <c r="B62" s="309" t="s">
        <v>13</v>
      </c>
      <c r="C62" s="309" t="s">
        <v>24</v>
      </c>
      <c r="D62" s="309" t="s">
        <v>28</v>
      </c>
      <c r="E62" s="272" t="s">
        <v>64</v>
      </c>
      <c r="F62" s="272" t="s">
        <v>103</v>
      </c>
      <c r="G62" s="320">
        <v>843</v>
      </c>
      <c r="H62" s="321">
        <v>10</v>
      </c>
      <c r="I62" s="322" t="s">
        <v>24</v>
      </c>
      <c r="J62" s="318" t="s">
        <v>237</v>
      </c>
      <c r="K62" s="308">
        <v>630</v>
      </c>
      <c r="L62" s="323">
        <v>1000</v>
      </c>
      <c r="M62" s="311">
        <v>925.1</v>
      </c>
      <c r="N62" s="310">
        <v>924.2</v>
      </c>
      <c r="O62" s="311">
        <f t="shared" si="47"/>
        <v>970.41000000000008</v>
      </c>
      <c r="P62" s="310">
        <f t="shared" si="47"/>
        <v>1018.9305000000002</v>
      </c>
      <c r="Q62" s="310">
        <f t="shared" si="45"/>
        <v>1069.8770250000002</v>
      </c>
      <c r="R62" s="310"/>
      <c r="S62" s="312">
        <f t="shared" ref="S62:U62" si="54">R62*1.04</f>
        <v>0</v>
      </c>
      <c r="T62" s="312">
        <f t="shared" si="54"/>
        <v>0</v>
      </c>
      <c r="U62" s="312">
        <f t="shared" si="54"/>
        <v>0</v>
      </c>
    </row>
    <row r="63" spans="1:21" ht="38.25" hidden="1" customHeight="1">
      <c r="A63" s="309" t="s">
        <v>10</v>
      </c>
      <c r="B63" s="309" t="s">
        <v>13</v>
      </c>
      <c r="C63" s="309" t="s">
        <v>24</v>
      </c>
      <c r="D63" s="309" t="s">
        <v>30</v>
      </c>
      <c r="E63" s="272" t="s">
        <v>65</v>
      </c>
      <c r="F63" s="272" t="s">
        <v>103</v>
      </c>
      <c r="G63" s="320">
        <v>843</v>
      </c>
      <c r="H63" s="321">
        <v>10</v>
      </c>
      <c r="I63" s="322" t="s">
        <v>24</v>
      </c>
      <c r="J63" s="318" t="s">
        <v>238</v>
      </c>
      <c r="K63" s="308">
        <v>630</v>
      </c>
      <c r="L63" s="323">
        <v>22.1</v>
      </c>
      <c r="M63" s="311">
        <v>29.5</v>
      </c>
      <c r="N63" s="310">
        <v>29.5</v>
      </c>
      <c r="O63" s="311">
        <f t="shared" si="47"/>
        <v>30.975000000000001</v>
      </c>
      <c r="P63" s="310">
        <f t="shared" si="47"/>
        <v>32.52375</v>
      </c>
      <c r="Q63" s="310">
        <f t="shared" si="45"/>
        <v>34.1499375</v>
      </c>
      <c r="R63" s="310"/>
      <c r="S63" s="312">
        <f t="shared" ref="S63:U63" si="55">R63*1.04</f>
        <v>0</v>
      </c>
      <c r="T63" s="312">
        <f t="shared" si="55"/>
        <v>0</v>
      </c>
      <c r="U63" s="312">
        <f t="shared" si="55"/>
        <v>0</v>
      </c>
    </row>
    <row r="64" spans="1:21" ht="38.25" hidden="1" customHeight="1">
      <c r="A64" s="309" t="s">
        <v>10</v>
      </c>
      <c r="B64" s="309" t="s">
        <v>13</v>
      </c>
      <c r="C64" s="309" t="s">
        <v>24</v>
      </c>
      <c r="D64" s="309" t="s">
        <v>32</v>
      </c>
      <c r="E64" s="272" t="s">
        <v>66</v>
      </c>
      <c r="F64" s="272" t="s">
        <v>103</v>
      </c>
      <c r="G64" s="320">
        <v>843</v>
      </c>
      <c r="H64" s="321">
        <v>10</v>
      </c>
      <c r="I64" s="322" t="s">
        <v>24</v>
      </c>
      <c r="J64" s="318" t="s">
        <v>239</v>
      </c>
      <c r="K64" s="308">
        <v>630</v>
      </c>
      <c r="L64" s="323">
        <v>32.6</v>
      </c>
      <c r="M64" s="311">
        <v>43.5</v>
      </c>
      <c r="N64" s="310">
        <v>43.5</v>
      </c>
      <c r="O64" s="311">
        <f t="shared" si="47"/>
        <v>45.675000000000004</v>
      </c>
      <c r="P64" s="310">
        <f t="shared" si="47"/>
        <v>47.958750000000009</v>
      </c>
      <c r="Q64" s="310">
        <f t="shared" si="45"/>
        <v>50.356687500000014</v>
      </c>
      <c r="R64" s="310"/>
      <c r="S64" s="312">
        <f t="shared" ref="S64:U64" si="56">R64*1.04</f>
        <v>0</v>
      </c>
      <c r="T64" s="312">
        <f t="shared" si="56"/>
        <v>0</v>
      </c>
      <c r="U64" s="312">
        <f t="shared" si="56"/>
        <v>0</v>
      </c>
    </row>
    <row r="65" spans="1:21" ht="38.25" hidden="1" customHeight="1">
      <c r="A65" s="309" t="s">
        <v>10</v>
      </c>
      <c r="B65" s="309" t="s">
        <v>13</v>
      </c>
      <c r="C65" s="309" t="s">
        <v>24</v>
      </c>
      <c r="D65" s="309" t="s">
        <v>34</v>
      </c>
      <c r="E65" s="272" t="s">
        <v>67</v>
      </c>
      <c r="F65" s="272" t="s">
        <v>103</v>
      </c>
      <c r="G65" s="320">
        <v>843</v>
      </c>
      <c r="H65" s="321">
        <v>10</v>
      </c>
      <c r="I65" s="322" t="s">
        <v>24</v>
      </c>
      <c r="J65" s="318" t="s">
        <v>240</v>
      </c>
      <c r="K65" s="308">
        <v>630</v>
      </c>
      <c r="L65" s="323">
        <v>37.5</v>
      </c>
      <c r="M65" s="311">
        <v>50</v>
      </c>
      <c r="N65" s="310">
        <v>0</v>
      </c>
      <c r="O65" s="311">
        <f t="shared" si="47"/>
        <v>0</v>
      </c>
      <c r="P65" s="310">
        <f t="shared" si="47"/>
        <v>0</v>
      </c>
      <c r="Q65" s="310">
        <f t="shared" si="45"/>
        <v>0</v>
      </c>
      <c r="R65" s="310"/>
      <c r="S65" s="312">
        <f t="shared" ref="S65:U65" si="57">R65*1.04</f>
        <v>0</v>
      </c>
      <c r="T65" s="312">
        <f t="shared" si="57"/>
        <v>0</v>
      </c>
      <c r="U65" s="312">
        <f t="shared" si="57"/>
        <v>0</v>
      </c>
    </row>
    <row r="66" spans="1:21" ht="38.25" hidden="1" customHeight="1">
      <c r="A66" s="309"/>
      <c r="B66" s="309"/>
      <c r="C66" s="309"/>
      <c r="D66" s="308"/>
      <c r="E66" s="268" t="s">
        <v>68</v>
      </c>
      <c r="F66" s="268" t="s">
        <v>103</v>
      </c>
      <c r="G66" s="308">
        <v>843</v>
      </c>
      <c r="H66" s="308"/>
      <c r="I66" s="309"/>
      <c r="J66" s="309"/>
      <c r="K66" s="308"/>
      <c r="L66" s="310">
        <f>SUM(L29:L45)</f>
        <v>3263781.1999999997</v>
      </c>
      <c r="M66" s="310">
        <v>0</v>
      </c>
      <c r="N66" s="310">
        <v>0</v>
      </c>
      <c r="O66" s="311">
        <v>0</v>
      </c>
      <c r="P66" s="310">
        <v>0</v>
      </c>
      <c r="Q66" s="310">
        <v>0</v>
      </c>
      <c r="R66" s="310"/>
      <c r="S66" s="312">
        <f t="shared" ref="S66:U66" si="58">R66*1.04</f>
        <v>0</v>
      </c>
      <c r="T66" s="312">
        <f t="shared" si="58"/>
        <v>0</v>
      </c>
      <c r="U66" s="312">
        <f t="shared" si="58"/>
        <v>0</v>
      </c>
    </row>
    <row r="67" spans="1:21" ht="38.25" hidden="1" customHeight="1">
      <c r="A67" s="309"/>
      <c r="B67" s="309"/>
      <c r="C67" s="309"/>
      <c r="D67" s="309"/>
      <c r="E67" s="268" t="s">
        <v>241</v>
      </c>
      <c r="F67" s="268" t="s">
        <v>103</v>
      </c>
      <c r="G67" s="308">
        <v>843</v>
      </c>
      <c r="H67" s="308"/>
      <c r="I67" s="309"/>
      <c r="J67" s="309"/>
      <c r="K67" s="308"/>
      <c r="L67" s="323">
        <f>L68+L69+L70+L71+L72+L73+L74</f>
        <v>118602.2</v>
      </c>
      <c r="M67" s="323">
        <f ca="1">SUM(M38:M74)</f>
        <v>0</v>
      </c>
      <c r="N67" s="323">
        <f ca="1">SUM(N38:N74)</f>
        <v>0</v>
      </c>
      <c r="O67" s="323">
        <f ca="1">SUM(O38:O74)</f>
        <v>0</v>
      </c>
      <c r="P67" s="323">
        <f ca="1">SUM(P38:P74)</f>
        <v>0</v>
      </c>
      <c r="Q67" s="310">
        <v>0</v>
      </c>
      <c r="R67" s="310"/>
      <c r="S67" s="312">
        <f t="shared" ref="S67:U67" si="59">R67*1.04</f>
        <v>0</v>
      </c>
      <c r="T67" s="312">
        <f t="shared" si="59"/>
        <v>0</v>
      </c>
      <c r="U67" s="312">
        <f t="shared" si="59"/>
        <v>0</v>
      </c>
    </row>
    <row r="68" spans="1:21" ht="38.25" hidden="1" customHeight="1">
      <c r="A68" s="309"/>
      <c r="B68" s="309"/>
      <c r="C68" s="309"/>
      <c r="D68" s="309"/>
      <c r="E68" s="268" t="s">
        <v>242</v>
      </c>
      <c r="F68" s="268" t="s">
        <v>103</v>
      </c>
      <c r="G68" s="308">
        <v>843</v>
      </c>
      <c r="H68" s="208">
        <v>10</v>
      </c>
      <c r="I68" s="318" t="s">
        <v>18</v>
      </c>
      <c r="J68" s="318" t="s">
        <v>243</v>
      </c>
      <c r="K68" s="208" t="s">
        <v>244</v>
      </c>
      <c r="L68" s="323">
        <v>16888.2</v>
      </c>
      <c r="M68" s="323">
        <v>0</v>
      </c>
      <c r="N68" s="323">
        <v>0</v>
      </c>
      <c r="O68" s="311">
        <f t="shared" ref="O68:P78" si="60">N68*1.05</f>
        <v>0</v>
      </c>
      <c r="P68" s="310">
        <f t="shared" si="60"/>
        <v>0</v>
      </c>
      <c r="Q68" s="310">
        <f t="shared" si="45"/>
        <v>0</v>
      </c>
      <c r="R68" s="310"/>
      <c r="S68" s="312">
        <f t="shared" ref="S68:U68" si="61">R68*1.04</f>
        <v>0</v>
      </c>
      <c r="T68" s="312">
        <f t="shared" si="61"/>
        <v>0</v>
      </c>
      <c r="U68" s="312">
        <f t="shared" si="61"/>
        <v>0</v>
      </c>
    </row>
    <row r="69" spans="1:21" ht="38.25" hidden="1" customHeight="1">
      <c r="A69" s="309"/>
      <c r="B69" s="309"/>
      <c r="C69" s="309"/>
      <c r="D69" s="309"/>
      <c r="E69" s="268" t="s">
        <v>69</v>
      </c>
      <c r="F69" s="268" t="s">
        <v>103</v>
      </c>
      <c r="G69" s="308">
        <v>843</v>
      </c>
      <c r="H69" s="208">
        <v>10</v>
      </c>
      <c r="I69" s="318" t="s">
        <v>18</v>
      </c>
      <c r="J69" s="318" t="s">
        <v>245</v>
      </c>
      <c r="K69" s="208">
        <v>313</v>
      </c>
      <c r="L69" s="323">
        <v>4991.5</v>
      </c>
      <c r="M69" s="323">
        <v>0</v>
      </c>
      <c r="N69" s="323">
        <v>0</v>
      </c>
      <c r="O69" s="311">
        <f t="shared" si="60"/>
        <v>0</v>
      </c>
      <c r="P69" s="310">
        <f t="shared" si="60"/>
        <v>0</v>
      </c>
      <c r="Q69" s="310">
        <f t="shared" si="45"/>
        <v>0</v>
      </c>
      <c r="R69" s="310"/>
      <c r="S69" s="312">
        <f t="shared" ref="S69:U69" si="62">R69*1.04</f>
        <v>0</v>
      </c>
      <c r="T69" s="312">
        <f t="shared" si="62"/>
        <v>0</v>
      </c>
      <c r="U69" s="312">
        <f t="shared" si="62"/>
        <v>0</v>
      </c>
    </row>
    <row r="70" spans="1:21" ht="40.5" hidden="1" customHeight="1">
      <c r="A70" s="309"/>
      <c r="B70" s="309"/>
      <c r="C70" s="309"/>
      <c r="D70" s="309"/>
      <c r="E70" s="268" t="s">
        <v>70</v>
      </c>
      <c r="F70" s="268" t="s">
        <v>103</v>
      </c>
      <c r="G70" s="308">
        <v>843</v>
      </c>
      <c r="H70" s="208">
        <v>10</v>
      </c>
      <c r="I70" s="318" t="s">
        <v>18</v>
      </c>
      <c r="J70" s="309" t="s">
        <v>246</v>
      </c>
      <c r="K70" s="309" t="s">
        <v>244</v>
      </c>
      <c r="L70" s="323">
        <v>547</v>
      </c>
      <c r="M70" s="323">
        <v>0</v>
      </c>
      <c r="N70" s="323">
        <v>0</v>
      </c>
      <c r="O70" s="311">
        <f t="shared" si="60"/>
        <v>0</v>
      </c>
      <c r="P70" s="310">
        <f t="shared" si="60"/>
        <v>0</v>
      </c>
      <c r="Q70" s="310">
        <f t="shared" si="45"/>
        <v>0</v>
      </c>
      <c r="R70" s="310"/>
      <c r="S70" s="312">
        <f t="shared" ref="S70:U70" si="63">R70*1.04</f>
        <v>0</v>
      </c>
      <c r="T70" s="312">
        <f t="shared" si="63"/>
        <v>0</v>
      </c>
      <c r="U70" s="312">
        <f t="shared" si="63"/>
        <v>0</v>
      </c>
    </row>
    <row r="71" spans="1:21" ht="38.25" hidden="1" customHeight="1">
      <c r="A71" s="309"/>
      <c r="B71" s="309"/>
      <c r="C71" s="309"/>
      <c r="D71" s="309"/>
      <c r="E71" s="324" t="s">
        <v>71</v>
      </c>
      <c r="F71" s="268" t="s">
        <v>103</v>
      </c>
      <c r="G71" s="308">
        <v>843</v>
      </c>
      <c r="H71" s="208">
        <v>10</v>
      </c>
      <c r="I71" s="318" t="s">
        <v>13</v>
      </c>
      <c r="J71" s="309" t="s">
        <v>247</v>
      </c>
      <c r="K71" s="308">
        <v>312</v>
      </c>
      <c r="L71" s="323">
        <v>86000.2</v>
      </c>
      <c r="M71" s="323">
        <v>0</v>
      </c>
      <c r="N71" s="323">
        <v>0</v>
      </c>
      <c r="O71" s="311">
        <f t="shared" si="60"/>
        <v>0</v>
      </c>
      <c r="P71" s="310">
        <f t="shared" si="60"/>
        <v>0</v>
      </c>
      <c r="Q71" s="310">
        <f t="shared" si="45"/>
        <v>0</v>
      </c>
      <c r="R71" s="310"/>
      <c r="S71" s="312">
        <f t="shared" ref="S71:U71" si="64">R71*1.04</f>
        <v>0</v>
      </c>
      <c r="T71" s="312">
        <f t="shared" si="64"/>
        <v>0</v>
      </c>
      <c r="U71" s="312">
        <f t="shared" si="64"/>
        <v>0</v>
      </c>
    </row>
    <row r="72" spans="1:21" ht="38.25" hidden="1" customHeight="1">
      <c r="A72" s="309"/>
      <c r="B72" s="309"/>
      <c r="C72" s="309"/>
      <c r="D72" s="309"/>
      <c r="E72" s="268" t="s">
        <v>72</v>
      </c>
      <c r="F72" s="268" t="s">
        <v>103</v>
      </c>
      <c r="G72" s="308">
        <v>843</v>
      </c>
      <c r="H72" s="208">
        <v>10</v>
      </c>
      <c r="I72" s="318" t="s">
        <v>18</v>
      </c>
      <c r="J72" s="309" t="s">
        <v>248</v>
      </c>
      <c r="K72" s="308">
        <v>321</v>
      </c>
      <c r="L72" s="323">
        <v>115.7</v>
      </c>
      <c r="M72" s="323">
        <v>0</v>
      </c>
      <c r="N72" s="323">
        <v>0</v>
      </c>
      <c r="O72" s="311">
        <f t="shared" si="60"/>
        <v>0</v>
      </c>
      <c r="P72" s="310">
        <f t="shared" si="60"/>
        <v>0</v>
      </c>
      <c r="Q72" s="310">
        <f t="shared" si="45"/>
        <v>0</v>
      </c>
      <c r="R72" s="310"/>
      <c r="S72" s="312">
        <f t="shared" ref="S72:U72" si="65">R72*1.04</f>
        <v>0</v>
      </c>
      <c r="T72" s="312">
        <f t="shared" si="65"/>
        <v>0</v>
      </c>
      <c r="U72" s="312">
        <f t="shared" si="65"/>
        <v>0</v>
      </c>
    </row>
    <row r="73" spans="1:21" ht="51" hidden="1" customHeight="1">
      <c r="A73" s="309"/>
      <c r="B73" s="309"/>
      <c r="C73" s="309"/>
      <c r="D73" s="309"/>
      <c r="E73" s="268" t="s">
        <v>73</v>
      </c>
      <c r="F73" s="268" t="s">
        <v>103</v>
      </c>
      <c r="G73" s="308">
        <v>843</v>
      </c>
      <c r="H73" s="208">
        <v>10</v>
      </c>
      <c r="I73" s="318" t="s">
        <v>18</v>
      </c>
      <c r="J73" s="309" t="s">
        <v>249</v>
      </c>
      <c r="K73" s="308">
        <v>321</v>
      </c>
      <c r="L73" s="323">
        <v>61.6</v>
      </c>
      <c r="M73" s="323">
        <v>0</v>
      </c>
      <c r="N73" s="310">
        <f>M73*1.05</f>
        <v>0</v>
      </c>
      <c r="O73" s="311">
        <f t="shared" si="60"/>
        <v>0</v>
      </c>
      <c r="P73" s="310">
        <f t="shared" si="60"/>
        <v>0</v>
      </c>
      <c r="Q73" s="310">
        <f t="shared" si="45"/>
        <v>0</v>
      </c>
      <c r="R73" s="310"/>
      <c r="S73" s="312">
        <f t="shared" ref="S73:U73" si="66">R73*1.04</f>
        <v>0</v>
      </c>
      <c r="T73" s="312">
        <f t="shared" si="66"/>
        <v>0</v>
      </c>
      <c r="U73" s="312">
        <f t="shared" si="66"/>
        <v>0</v>
      </c>
    </row>
    <row r="74" spans="1:21" ht="51" hidden="1" customHeight="1">
      <c r="A74" s="309"/>
      <c r="B74" s="309"/>
      <c r="C74" s="309"/>
      <c r="D74" s="309"/>
      <c r="E74" s="268" t="s">
        <v>74</v>
      </c>
      <c r="F74" s="268" t="s">
        <v>103</v>
      </c>
      <c r="G74" s="308">
        <v>843</v>
      </c>
      <c r="H74" s="309" t="s">
        <v>32</v>
      </c>
      <c r="I74" s="309" t="s">
        <v>18</v>
      </c>
      <c r="J74" s="309" t="s">
        <v>250</v>
      </c>
      <c r="K74" s="309" t="s">
        <v>251</v>
      </c>
      <c r="L74" s="323">
        <v>9998</v>
      </c>
      <c r="M74" s="323">
        <v>0</v>
      </c>
      <c r="N74" s="310">
        <v>0</v>
      </c>
      <c r="O74" s="311">
        <f t="shared" si="60"/>
        <v>0</v>
      </c>
      <c r="P74" s="310">
        <f t="shared" si="60"/>
        <v>0</v>
      </c>
      <c r="Q74" s="310">
        <f t="shared" si="45"/>
        <v>0</v>
      </c>
      <c r="R74" s="310"/>
      <c r="S74" s="312">
        <f t="shared" ref="S74:U74" si="67">R74*1.04</f>
        <v>0</v>
      </c>
      <c r="T74" s="312">
        <f t="shared" si="67"/>
        <v>0</v>
      </c>
      <c r="U74" s="312">
        <f t="shared" si="67"/>
        <v>0</v>
      </c>
    </row>
    <row r="75" spans="1:21" ht="38.25" hidden="1" customHeight="1">
      <c r="A75" s="309"/>
      <c r="B75" s="309"/>
      <c r="C75" s="309"/>
      <c r="D75" s="208"/>
      <c r="E75" s="268" t="s">
        <v>252</v>
      </c>
      <c r="F75" s="268" t="s">
        <v>103</v>
      </c>
      <c r="G75" s="308">
        <v>843</v>
      </c>
      <c r="H75" s="208">
        <v>10</v>
      </c>
      <c r="I75" s="318" t="s">
        <v>18</v>
      </c>
      <c r="J75" s="318" t="s">
        <v>253</v>
      </c>
      <c r="K75" s="208">
        <v>321</v>
      </c>
      <c r="L75" s="325">
        <v>13245</v>
      </c>
      <c r="M75" s="323">
        <v>0</v>
      </c>
      <c r="N75" s="310">
        <v>0</v>
      </c>
      <c r="O75" s="311">
        <f t="shared" si="60"/>
        <v>0</v>
      </c>
      <c r="P75" s="310">
        <f t="shared" si="60"/>
        <v>0</v>
      </c>
      <c r="Q75" s="310">
        <f t="shared" si="45"/>
        <v>0</v>
      </c>
      <c r="R75" s="310"/>
      <c r="S75" s="312">
        <f t="shared" ref="S75:U75" si="68">R75*1.04</f>
        <v>0</v>
      </c>
      <c r="T75" s="312">
        <f t="shared" si="68"/>
        <v>0</v>
      </c>
      <c r="U75" s="312">
        <f t="shared" si="68"/>
        <v>0</v>
      </c>
    </row>
    <row r="76" spans="1:21" ht="51" hidden="1" customHeight="1">
      <c r="A76" s="309"/>
      <c r="B76" s="309"/>
      <c r="C76" s="309"/>
      <c r="D76" s="208"/>
      <c r="E76" s="268" t="s">
        <v>254</v>
      </c>
      <c r="F76" s="268" t="s">
        <v>103</v>
      </c>
      <c r="G76" s="308">
        <v>843</v>
      </c>
      <c r="H76" s="208">
        <v>10</v>
      </c>
      <c r="I76" s="318" t="s">
        <v>18</v>
      </c>
      <c r="J76" s="318" t="s">
        <v>255</v>
      </c>
      <c r="K76" s="208">
        <v>321.32299999999998</v>
      </c>
      <c r="L76" s="325">
        <v>360861.8</v>
      </c>
      <c r="M76" s="323">
        <v>0</v>
      </c>
      <c r="N76" s="310">
        <v>0</v>
      </c>
      <c r="O76" s="311">
        <f t="shared" si="60"/>
        <v>0</v>
      </c>
      <c r="P76" s="310">
        <f t="shared" si="60"/>
        <v>0</v>
      </c>
      <c r="Q76" s="310">
        <f t="shared" si="45"/>
        <v>0</v>
      </c>
      <c r="R76" s="310"/>
      <c r="S76" s="312">
        <f t="shared" ref="S76:U76" si="69">R76*1.04</f>
        <v>0</v>
      </c>
      <c r="T76" s="312">
        <f t="shared" si="69"/>
        <v>0</v>
      </c>
      <c r="U76" s="312">
        <f t="shared" si="69"/>
        <v>0</v>
      </c>
    </row>
    <row r="77" spans="1:21" ht="76.5" hidden="1" customHeight="1">
      <c r="A77" s="309"/>
      <c r="B77" s="309"/>
      <c r="C77" s="309"/>
      <c r="D77" s="208"/>
      <c r="E77" s="268" t="s">
        <v>256</v>
      </c>
      <c r="F77" s="268" t="s">
        <v>103</v>
      </c>
      <c r="G77" s="308">
        <v>843</v>
      </c>
      <c r="H77" s="208">
        <v>10</v>
      </c>
      <c r="I77" s="318" t="s">
        <v>18</v>
      </c>
      <c r="J77" s="318" t="s">
        <v>257</v>
      </c>
      <c r="K77" s="208">
        <v>321.32299999999998</v>
      </c>
      <c r="L77" s="325">
        <v>36893.5</v>
      </c>
      <c r="M77" s="323">
        <v>0</v>
      </c>
      <c r="N77" s="310">
        <v>0</v>
      </c>
      <c r="O77" s="311">
        <f t="shared" si="60"/>
        <v>0</v>
      </c>
      <c r="P77" s="310">
        <f t="shared" si="60"/>
        <v>0</v>
      </c>
      <c r="Q77" s="310">
        <f t="shared" si="45"/>
        <v>0</v>
      </c>
      <c r="R77" s="310"/>
      <c r="S77" s="312">
        <f t="shared" ref="S77:U77" si="70">R77*1.04</f>
        <v>0</v>
      </c>
      <c r="T77" s="312">
        <f t="shared" si="70"/>
        <v>0</v>
      </c>
      <c r="U77" s="312">
        <f t="shared" si="70"/>
        <v>0</v>
      </c>
    </row>
    <row r="78" spans="1:21" ht="38.25" hidden="1" customHeight="1">
      <c r="A78" s="309"/>
      <c r="B78" s="309"/>
      <c r="C78" s="309"/>
      <c r="D78" s="308"/>
      <c r="E78" s="268" t="s">
        <v>75</v>
      </c>
      <c r="F78" s="268" t="s">
        <v>103</v>
      </c>
      <c r="G78" s="308">
        <v>843</v>
      </c>
      <c r="H78" s="208">
        <v>10</v>
      </c>
      <c r="I78" s="318" t="s">
        <v>24</v>
      </c>
      <c r="J78" s="318" t="s">
        <v>258</v>
      </c>
      <c r="K78" s="208">
        <v>630</v>
      </c>
      <c r="L78" s="325">
        <f>2753.9</f>
        <v>2753.9</v>
      </c>
      <c r="M78" s="323">
        <v>0</v>
      </c>
      <c r="N78" s="310"/>
      <c r="O78" s="311">
        <f t="shared" si="60"/>
        <v>0</v>
      </c>
      <c r="P78" s="310">
        <f t="shared" si="60"/>
        <v>0</v>
      </c>
      <c r="Q78" s="310">
        <f t="shared" si="45"/>
        <v>0</v>
      </c>
      <c r="R78" s="310"/>
      <c r="S78" s="312">
        <f t="shared" ref="S78:U78" si="71">R78*1.04</f>
        <v>0</v>
      </c>
      <c r="T78" s="312">
        <f t="shared" si="71"/>
        <v>0</v>
      </c>
      <c r="U78" s="312">
        <f t="shared" si="71"/>
        <v>0</v>
      </c>
    </row>
    <row r="79" spans="1:21" ht="15" customHeight="1">
      <c r="A79" s="446" t="s">
        <v>10</v>
      </c>
      <c r="B79" s="446" t="s">
        <v>76</v>
      </c>
      <c r="C79" s="446"/>
      <c r="D79" s="446"/>
      <c r="E79" s="442" t="s">
        <v>77</v>
      </c>
      <c r="F79" s="268" t="s">
        <v>190</v>
      </c>
      <c r="G79" s="308"/>
      <c r="H79" s="308"/>
      <c r="I79" s="309"/>
      <c r="J79" s="309"/>
      <c r="K79" s="308"/>
      <c r="L79" s="310">
        <f t="shared" ref="L79:O79" si="72">L80+L81+L83</f>
        <v>1950521.87</v>
      </c>
      <c r="M79" s="310">
        <f t="shared" si="72"/>
        <v>1660232.8</v>
      </c>
      <c r="N79" s="310">
        <f t="shared" si="72"/>
        <v>1606069.2848100001</v>
      </c>
      <c r="O79" s="311">
        <f t="shared" si="72"/>
        <v>1908793</v>
      </c>
      <c r="P79" s="310">
        <f>P80+P81+P83+P82</f>
        <v>2994446.1</v>
      </c>
      <c r="Q79" s="310">
        <f t="shared" ref="Q79:R79" si="73">Q80+Q81+Q83+Q82</f>
        <v>2830485.6</v>
      </c>
      <c r="R79" s="310">
        <f t="shared" si="73"/>
        <v>2842277.8</v>
      </c>
      <c r="S79" s="312">
        <f t="shared" ref="S79:U79" si="74">R79*1.04</f>
        <v>2955968.912</v>
      </c>
      <c r="T79" s="312">
        <f t="shared" si="74"/>
        <v>3074207.66848</v>
      </c>
      <c r="U79" s="312">
        <f t="shared" si="74"/>
        <v>3197175.9752191999</v>
      </c>
    </row>
    <row r="80" spans="1:21" ht="15">
      <c r="A80" s="451"/>
      <c r="B80" s="451"/>
      <c r="C80" s="451"/>
      <c r="D80" s="451"/>
      <c r="E80" s="452"/>
      <c r="F80" s="268" t="s">
        <v>3</v>
      </c>
      <c r="G80" s="308">
        <v>843</v>
      </c>
      <c r="H80" s="308"/>
      <c r="I80" s="309"/>
      <c r="J80" s="309" t="s">
        <v>259</v>
      </c>
      <c r="K80" s="308"/>
      <c r="L80" s="310">
        <f>L84+L95+L98+L100+L104+L126+L111+L120</f>
        <v>1923268.1700000002</v>
      </c>
      <c r="M80" s="310">
        <f>M84+M95+M98+M100+M104+M126+M130+M111+M120</f>
        <v>1606826.1</v>
      </c>
      <c r="N80" s="310">
        <f>N84+N95+N98+N100+N104+N126+N130+N111+N120</f>
        <v>1582063.5843100001</v>
      </c>
      <c r="O80" s="311">
        <f>O84+O95+O98+O100+O104+O126+O130+O111+O120</f>
        <v>1881662</v>
      </c>
      <c r="P80" s="310">
        <f>P84+P95+P98+P100+P104+P126+P130+P111+P120+P131</f>
        <v>2898431.6</v>
      </c>
      <c r="Q80" s="310">
        <f>Q84+Q95+Q98+Q100+Q104+Q126+Q130+Q111+Q120+Q131</f>
        <v>2688484.7</v>
      </c>
      <c r="R80" s="310">
        <f>R84+R95+R98+R100+R104+R126+R130+R111+R120+R131</f>
        <v>2735234.8</v>
      </c>
      <c r="S80" s="312">
        <f t="shared" ref="S80:U80" si="75">R80*1.04</f>
        <v>2844644.1919999998</v>
      </c>
      <c r="T80" s="312">
        <f t="shared" si="75"/>
        <v>2958429.9596799999</v>
      </c>
      <c r="U80" s="312">
        <f t="shared" si="75"/>
        <v>3076767.1580671999</v>
      </c>
    </row>
    <row r="81" spans="1:21" ht="25.5">
      <c r="A81" s="451"/>
      <c r="B81" s="451"/>
      <c r="C81" s="451"/>
      <c r="D81" s="451"/>
      <c r="E81" s="452"/>
      <c r="F81" s="268" t="s">
        <v>92</v>
      </c>
      <c r="G81" s="308">
        <v>855</v>
      </c>
      <c r="H81" s="308"/>
      <c r="I81" s="309"/>
      <c r="J81" s="309" t="s">
        <v>259</v>
      </c>
      <c r="K81" s="308"/>
      <c r="L81" s="310">
        <f>L105</f>
        <v>26527</v>
      </c>
      <c r="M81" s="310">
        <f t="shared" ref="M81:O81" si="76">M105</f>
        <v>53406.7</v>
      </c>
      <c r="N81" s="310">
        <f t="shared" si="76"/>
        <v>24005.700499999999</v>
      </c>
      <c r="O81" s="311">
        <f t="shared" si="76"/>
        <v>27131</v>
      </c>
      <c r="P81" s="310">
        <f>P105+P132</f>
        <v>7873.5</v>
      </c>
      <c r="Q81" s="310">
        <f>Q105+Q132</f>
        <v>53767.5</v>
      </c>
      <c r="R81" s="310">
        <f>R105+R132</f>
        <v>18809.599999999999</v>
      </c>
      <c r="S81" s="312">
        <f t="shared" ref="S81:U81" si="77">R81*1.04</f>
        <v>19561.984</v>
      </c>
      <c r="T81" s="312">
        <f t="shared" si="77"/>
        <v>20344.463360000002</v>
      </c>
      <c r="U81" s="312">
        <f t="shared" si="77"/>
        <v>21158.241894400002</v>
      </c>
    </row>
    <row r="82" spans="1:21" ht="63.75">
      <c r="A82" s="451"/>
      <c r="B82" s="451"/>
      <c r="C82" s="451"/>
      <c r="D82" s="451"/>
      <c r="E82" s="452"/>
      <c r="F82" s="268" t="s">
        <v>475</v>
      </c>
      <c r="G82" s="308"/>
      <c r="H82" s="308"/>
      <c r="I82" s="309"/>
      <c r="J82" s="309"/>
      <c r="K82" s="308"/>
      <c r="L82" s="310"/>
      <c r="M82" s="310"/>
      <c r="N82" s="310"/>
      <c r="O82" s="311"/>
      <c r="P82" s="310">
        <f>P106</f>
        <v>88141</v>
      </c>
      <c r="Q82" s="310">
        <f t="shared" ref="Q82:R82" si="78">Q106</f>
        <v>88233.4</v>
      </c>
      <c r="R82" s="310">
        <f t="shared" si="78"/>
        <v>88233.4</v>
      </c>
      <c r="S82" s="312">
        <f t="shared" ref="S82:U82" si="79">R82*1.04</f>
        <v>91762.73599999999</v>
      </c>
      <c r="T82" s="312">
        <f t="shared" si="79"/>
        <v>95433.245439999999</v>
      </c>
      <c r="U82" s="312">
        <f t="shared" si="79"/>
        <v>99250.575257600009</v>
      </c>
    </row>
    <row r="83" spans="1:21" ht="38.25">
      <c r="A83" s="447"/>
      <c r="B83" s="447"/>
      <c r="C83" s="447"/>
      <c r="D83" s="447"/>
      <c r="E83" s="443"/>
      <c r="F83" s="268" t="s">
        <v>93</v>
      </c>
      <c r="G83" s="308">
        <v>835</v>
      </c>
      <c r="H83" s="308"/>
      <c r="I83" s="309"/>
      <c r="J83" s="309" t="s">
        <v>259</v>
      </c>
      <c r="K83" s="308"/>
      <c r="L83" s="310">
        <f>L107</f>
        <v>726.7</v>
      </c>
      <c r="M83" s="310">
        <f>M107</f>
        <v>0</v>
      </c>
      <c r="N83" s="310">
        <f>N107</f>
        <v>0</v>
      </c>
      <c r="O83" s="311">
        <f>O107</f>
        <v>0</v>
      </c>
      <c r="P83" s="310">
        <v>0</v>
      </c>
      <c r="Q83" s="310">
        <v>0</v>
      </c>
      <c r="R83" s="310">
        <v>0</v>
      </c>
      <c r="S83" s="312">
        <f t="shared" ref="S83:U83" si="80">R83*1.04</f>
        <v>0</v>
      </c>
      <c r="T83" s="312">
        <f t="shared" si="80"/>
        <v>0</v>
      </c>
      <c r="U83" s="312">
        <f t="shared" si="80"/>
        <v>0</v>
      </c>
    </row>
    <row r="84" spans="1:21" ht="38.25">
      <c r="A84" s="309" t="s">
        <v>10</v>
      </c>
      <c r="B84" s="309" t="s">
        <v>76</v>
      </c>
      <c r="C84" s="309" t="s">
        <v>13</v>
      </c>
      <c r="D84" s="308"/>
      <c r="E84" s="268" t="s">
        <v>260</v>
      </c>
      <c r="F84" s="268" t="s">
        <v>3</v>
      </c>
      <c r="G84" s="308">
        <v>843</v>
      </c>
      <c r="H84" s="308">
        <v>10</v>
      </c>
      <c r="I84" s="309" t="s">
        <v>18</v>
      </c>
      <c r="J84" s="309" t="s">
        <v>261</v>
      </c>
      <c r="K84" s="208" t="s">
        <v>262</v>
      </c>
      <c r="L84" s="323">
        <f>SUM(L85:L94)+0.05</f>
        <v>1149209.48</v>
      </c>
      <c r="M84" s="323">
        <v>1300674</v>
      </c>
      <c r="N84" s="323">
        <v>1266533.6901</v>
      </c>
      <c r="O84" s="326">
        <v>1491616.8</v>
      </c>
      <c r="P84" s="323">
        <v>957317.7</v>
      </c>
      <c r="Q84" s="323">
        <v>984624.6</v>
      </c>
      <c r="R84" s="310">
        <v>1010479.7</v>
      </c>
      <c r="S84" s="312">
        <f t="shared" ref="S84:U84" si="81">R84*1.04</f>
        <v>1050898.888</v>
      </c>
      <c r="T84" s="312">
        <f t="shared" si="81"/>
        <v>1092934.8435200001</v>
      </c>
      <c r="U84" s="312">
        <f t="shared" si="81"/>
        <v>1136652.2372608001</v>
      </c>
    </row>
    <row r="85" spans="1:21" ht="51" hidden="1" customHeight="1">
      <c r="A85" s="309" t="s">
        <v>10</v>
      </c>
      <c r="B85" s="309" t="s">
        <v>16</v>
      </c>
      <c r="C85" s="309" t="s">
        <v>13</v>
      </c>
      <c r="D85" s="309" t="s">
        <v>13</v>
      </c>
      <c r="E85" s="324" t="s">
        <v>78</v>
      </c>
      <c r="F85" s="268" t="s">
        <v>3</v>
      </c>
      <c r="G85" s="320">
        <v>843</v>
      </c>
      <c r="H85" s="327" t="s">
        <v>32</v>
      </c>
      <c r="I85" s="327" t="s">
        <v>18</v>
      </c>
      <c r="J85" s="318" t="s">
        <v>263</v>
      </c>
      <c r="K85" s="309" t="s">
        <v>264</v>
      </c>
      <c r="L85" s="323">
        <v>5824.17</v>
      </c>
      <c r="M85" s="323">
        <v>9000</v>
      </c>
      <c r="N85" s="310">
        <v>4995</v>
      </c>
      <c r="O85" s="311">
        <v>4995</v>
      </c>
      <c r="P85" s="310">
        <v>4995</v>
      </c>
      <c r="Q85" s="323">
        <f t="shared" ref="Q85:R130" si="82">P85*1.05</f>
        <v>5244.75</v>
      </c>
      <c r="R85" s="310">
        <f t="shared" ref="R85:R99" si="83">Q85*1.04</f>
        <v>5454.54</v>
      </c>
      <c r="S85" s="312">
        <f t="shared" ref="S85:U85" si="84">R85*1.04</f>
        <v>5672.7215999999999</v>
      </c>
      <c r="T85" s="312">
        <f t="shared" si="84"/>
        <v>5899.6304639999998</v>
      </c>
      <c r="U85" s="312">
        <f t="shared" si="84"/>
        <v>6135.6156825600001</v>
      </c>
    </row>
    <row r="86" spans="1:21" ht="38.25" hidden="1" customHeight="1">
      <c r="A86" s="309" t="s">
        <v>10</v>
      </c>
      <c r="B86" s="309" t="s">
        <v>16</v>
      </c>
      <c r="C86" s="309" t="s">
        <v>13</v>
      </c>
      <c r="D86" s="309" t="s">
        <v>16</v>
      </c>
      <c r="E86" s="268" t="s">
        <v>265</v>
      </c>
      <c r="F86" s="268" t="s">
        <v>3</v>
      </c>
      <c r="G86" s="308">
        <v>843</v>
      </c>
      <c r="H86" s="309" t="s">
        <v>32</v>
      </c>
      <c r="I86" s="309" t="s">
        <v>18</v>
      </c>
      <c r="J86" s="318" t="s">
        <v>266</v>
      </c>
      <c r="K86" s="208" t="s">
        <v>200</v>
      </c>
      <c r="L86" s="323">
        <v>320736.36</v>
      </c>
      <c r="M86" s="323">
        <f>348327.3+7781.9</f>
        <v>356109.2</v>
      </c>
      <c r="N86" s="310">
        <v>308969.09999999998</v>
      </c>
      <c r="O86" s="311">
        <v>308969.09999999998</v>
      </c>
      <c r="P86" s="310">
        <v>308969.09999999998</v>
      </c>
      <c r="Q86" s="323">
        <f t="shared" si="82"/>
        <v>324417.55499999999</v>
      </c>
      <c r="R86" s="310">
        <f t="shared" si="83"/>
        <v>337394.25719999999</v>
      </c>
      <c r="S86" s="312">
        <f t="shared" ref="S86:U86" si="85">R86*1.04</f>
        <v>350890.02748799999</v>
      </c>
      <c r="T86" s="312">
        <f t="shared" si="85"/>
        <v>364925.62858751998</v>
      </c>
      <c r="U86" s="312">
        <f t="shared" si="85"/>
        <v>379522.65373102081</v>
      </c>
    </row>
    <row r="87" spans="1:21" ht="38.25" hidden="1" customHeight="1">
      <c r="A87" s="309" t="s">
        <v>10</v>
      </c>
      <c r="B87" s="309" t="s">
        <v>16</v>
      </c>
      <c r="C87" s="309" t="s">
        <v>13</v>
      </c>
      <c r="D87" s="309" t="s">
        <v>18</v>
      </c>
      <c r="E87" s="268" t="s">
        <v>79</v>
      </c>
      <c r="F87" s="268" t="s">
        <v>3</v>
      </c>
      <c r="G87" s="308">
        <v>843</v>
      </c>
      <c r="H87" s="309" t="s">
        <v>32</v>
      </c>
      <c r="I87" s="309" t="s">
        <v>18</v>
      </c>
      <c r="J87" s="318" t="s">
        <v>267</v>
      </c>
      <c r="K87" s="309" t="s">
        <v>200</v>
      </c>
      <c r="L87" s="323">
        <v>28086.7</v>
      </c>
      <c r="M87" s="323">
        <f>33203.6-3900</f>
        <v>29303.599999999999</v>
      </c>
      <c r="N87" s="310">
        <v>30824.5</v>
      </c>
      <c r="O87" s="311">
        <v>30824.5</v>
      </c>
      <c r="P87" s="310">
        <v>30824.5</v>
      </c>
      <c r="Q87" s="323">
        <f t="shared" si="82"/>
        <v>32365.725000000002</v>
      </c>
      <c r="R87" s="310">
        <f t="shared" si="83"/>
        <v>33660.354000000007</v>
      </c>
      <c r="S87" s="312">
        <f t="shared" ref="S87:U87" si="86">R87*1.04</f>
        <v>35006.768160000007</v>
      </c>
      <c r="T87" s="312">
        <f t="shared" si="86"/>
        <v>36407.038886400005</v>
      </c>
      <c r="U87" s="312">
        <f t="shared" si="86"/>
        <v>37863.320441856005</v>
      </c>
    </row>
    <row r="88" spans="1:21" ht="63.75" hidden="1" customHeight="1">
      <c r="A88" s="318" t="s">
        <v>10</v>
      </c>
      <c r="B88" s="309" t="s">
        <v>16</v>
      </c>
      <c r="C88" s="309" t="s">
        <v>13</v>
      </c>
      <c r="D88" s="318" t="s">
        <v>20</v>
      </c>
      <c r="E88" s="268" t="s">
        <v>80</v>
      </c>
      <c r="F88" s="268" t="s">
        <v>3</v>
      </c>
      <c r="G88" s="308">
        <v>843</v>
      </c>
      <c r="H88" s="309" t="s">
        <v>32</v>
      </c>
      <c r="I88" s="309" t="s">
        <v>18</v>
      </c>
      <c r="J88" s="318" t="s">
        <v>268</v>
      </c>
      <c r="K88" s="318" t="s">
        <v>269</v>
      </c>
      <c r="L88" s="323">
        <v>541542</v>
      </c>
      <c r="M88" s="323">
        <v>595812.19999999995</v>
      </c>
      <c r="N88" s="310">
        <f>14.7+593381.3</f>
        <v>593396</v>
      </c>
      <c r="O88" s="311">
        <f>14.7+593381.3</f>
        <v>593396</v>
      </c>
      <c r="P88" s="310">
        <f>14.7+593381.3</f>
        <v>593396</v>
      </c>
      <c r="Q88" s="323">
        <f t="shared" si="82"/>
        <v>623065.80000000005</v>
      </c>
      <c r="R88" s="310">
        <f t="shared" si="83"/>
        <v>647988.43200000003</v>
      </c>
      <c r="S88" s="312">
        <f t="shared" ref="S88:U88" si="87">R88*1.04</f>
        <v>673907.96928000008</v>
      </c>
      <c r="T88" s="312">
        <f t="shared" si="87"/>
        <v>700864.2880512001</v>
      </c>
      <c r="U88" s="312">
        <f t="shared" si="87"/>
        <v>728898.85957324808</v>
      </c>
    </row>
    <row r="89" spans="1:21" ht="63.75" hidden="1" customHeight="1">
      <c r="A89" s="318" t="s">
        <v>10</v>
      </c>
      <c r="B89" s="309" t="s">
        <v>16</v>
      </c>
      <c r="C89" s="309" t="s">
        <v>13</v>
      </c>
      <c r="D89" s="318" t="s">
        <v>22</v>
      </c>
      <c r="E89" s="268" t="s">
        <v>174</v>
      </c>
      <c r="F89" s="268" t="s">
        <v>3</v>
      </c>
      <c r="G89" s="308">
        <v>843</v>
      </c>
      <c r="H89" s="309" t="s">
        <v>32</v>
      </c>
      <c r="I89" s="309" t="s">
        <v>18</v>
      </c>
      <c r="J89" s="318" t="s">
        <v>270</v>
      </c>
      <c r="K89" s="318" t="s">
        <v>271</v>
      </c>
      <c r="L89" s="323">
        <v>55433.5</v>
      </c>
      <c r="M89" s="323">
        <f>1.3+52667</f>
        <v>52668.3</v>
      </c>
      <c r="N89" s="310">
        <f>1.3+54773.9</f>
        <v>54775.200000000004</v>
      </c>
      <c r="O89" s="311">
        <f>1.3+54773.9</f>
        <v>54775.200000000004</v>
      </c>
      <c r="P89" s="310">
        <f>1.3+54773.9</f>
        <v>54775.200000000004</v>
      </c>
      <c r="Q89" s="323">
        <f t="shared" si="82"/>
        <v>57513.960000000006</v>
      </c>
      <c r="R89" s="310">
        <f t="shared" si="83"/>
        <v>59814.518400000008</v>
      </c>
      <c r="S89" s="312">
        <f t="shared" ref="S89:U89" si="88">R89*1.04</f>
        <v>62207.099136000012</v>
      </c>
      <c r="T89" s="312">
        <f t="shared" si="88"/>
        <v>64695.383101440013</v>
      </c>
      <c r="U89" s="312">
        <f t="shared" si="88"/>
        <v>67283.198425497612</v>
      </c>
    </row>
    <row r="90" spans="1:21" ht="76.5" hidden="1" customHeight="1">
      <c r="A90" s="318" t="s">
        <v>10</v>
      </c>
      <c r="B90" s="309" t="s">
        <v>16</v>
      </c>
      <c r="C90" s="309" t="s">
        <v>13</v>
      </c>
      <c r="D90" s="318" t="s">
        <v>24</v>
      </c>
      <c r="E90" s="268" t="s">
        <v>175</v>
      </c>
      <c r="F90" s="268" t="s">
        <v>3</v>
      </c>
      <c r="G90" s="308">
        <v>843</v>
      </c>
      <c r="H90" s="309" t="s">
        <v>32</v>
      </c>
      <c r="I90" s="309" t="s">
        <v>18</v>
      </c>
      <c r="J90" s="318" t="s">
        <v>272</v>
      </c>
      <c r="K90" s="318" t="s">
        <v>273</v>
      </c>
      <c r="L90" s="323">
        <v>0</v>
      </c>
      <c r="M90" s="323">
        <v>1</v>
      </c>
      <c r="N90" s="310">
        <v>1.1000000000000001</v>
      </c>
      <c r="O90" s="311">
        <v>1.1000000000000001</v>
      </c>
      <c r="P90" s="310">
        <v>1.1000000000000001</v>
      </c>
      <c r="Q90" s="323">
        <f t="shared" si="82"/>
        <v>1.1550000000000002</v>
      </c>
      <c r="R90" s="310">
        <f t="shared" si="83"/>
        <v>1.2012000000000003</v>
      </c>
      <c r="S90" s="312">
        <f t="shared" ref="S90:U90" si="89">R90*1.04</f>
        <v>1.2492480000000004</v>
      </c>
      <c r="T90" s="312">
        <f t="shared" si="89"/>
        <v>1.2992179200000005</v>
      </c>
      <c r="U90" s="312">
        <f t="shared" si="89"/>
        <v>1.3511866368000005</v>
      </c>
    </row>
    <row r="91" spans="1:21" ht="63.75" hidden="1" customHeight="1">
      <c r="A91" s="318" t="s">
        <v>10</v>
      </c>
      <c r="B91" s="309" t="s">
        <v>16</v>
      </c>
      <c r="C91" s="309" t="s">
        <v>13</v>
      </c>
      <c r="D91" s="318" t="s">
        <v>26</v>
      </c>
      <c r="E91" s="268" t="s">
        <v>176</v>
      </c>
      <c r="F91" s="268" t="s">
        <v>3</v>
      </c>
      <c r="G91" s="308">
        <v>843</v>
      </c>
      <c r="H91" s="309" t="s">
        <v>32</v>
      </c>
      <c r="I91" s="309" t="s">
        <v>18</v>
      </c>
      <c r="J91" s="318" t="s">
        <v>274</v>
      </c>
      <c r="K91" s="318" t="s">
        <v>273</v>
      </c>
      <c r="L91" s="323">
        <v>0</v>
      </c>
      <c r="M91" s="323">
        <v>2.9</v>
      </c>
      <c r="N91" s="310">
        <v>3</v>
      </c>
      <c r="O91" s="311">
        <v>3</v>
      </c>
      <c r="P91" s="310">
        <v>3</v>
      </c>
      <c r="Q91" s="323">
        <f t="shared" si="82"/>
        <v>3.1500000000000004</v>
      </c>
      <c r="R91" s="310">
        <f t="shared" si="83"/>
        <v>3.2760000000000007</v>
      </c>
      <c r="S91" s="312">
        <f t="shared" ref="S91:U91" si="90">R91*1.04</f>
        <v>3.4070400000000007</v>
      </c>
      <c r="T91" s="312">
        <f t="shared" si="90"/>
        <v>3.543321600000001</v>
      </c>
      <c r="U91" s="312">
        <f t="shared" si="90"/>
        <v>3.6850544640000011</v>
      </c>
    </row>
    <row r="92" spans="1:21" ht="37.5" hidden="1" customHeight="1">
      <c r="A92" s="327" t="s">
        <v>10</v>
      </c>
      <c r="B92" s="309" t="s">
        <v>16</v>
      </c>
      <c r="C92" s="327" t="s">
        <v>13</v>
      </c>
      <c r="D92" s="309" t="s">
        <v>28</v>
      </c>
      <c r="E92" s="268" t="s">
        <v>81</v>
      </c>
      <c r="F92" s="268" t="s">
        <v>3</v>
      </c>
      <c r="G92" s="308">
        <v>843</v>
      </c>
      <c r="H92" s="309" t="s">
        <v>32</v>
      </c>
      <c r="I92" s="309" t="s">
        <v>18</v>
      </c>
      <c r="J92" s="318" t="s">
        <v>275</v>
      </c>
      <c r="K92" s="318" t="s">
        <v>200</v>
      </c>
      <c r="L92" s="323">
        <v>181731.6</v>
      </c>
      <c r="M92" s="311">
        <f>255900+36931.8</f>
        <v>292831.8</v>
      </c>
      <c r="N92" s="310">
        <v>234035.7</v>
      </c>
      <c r="O92" s="311">
        <v>234035.7</v>
      </c>
      <c r="P92" s="310">
        <v>234035.7</v>
      </c>
      <c r="Q92" s="323">
        <f t="shared" si="82"/>
        <v>245737.48500000002</v>
      </c>
      <c r="R92" s="310">
        <f t="shared" si="83"/>
        <v>255566.98440000002</v>
      </c>
      <c r="S92" s="312">
        <f t="shared" ref="S92:U92" si="91">R92*1.04</f>
        <v>265789.66377600003</v>
      </c>
      <c r="T92" s="312">
        <f t="shared" si="91"/>
        <v>276421.25032704003</v>
      </c>
      <c r="U92" s="312">
        <f t="shared" si="91"/>
        <v>287478.10034012166</v>
      </c>
    </row>
    <row r="93" spans="1:21" ht="63" hidden="1" customHeight="1">
      <c r="A93" s="309" t="s">
        <v>10</v>
      </c>
      <c r="B93" s="309" t="s">
        <v>16</v>
      </c>
      <c r="C93" s="309" t="s">
        <v>13</v>
      </c>
      <c r="D93" s="309" t="s">
        <v>30</v>
      </c>
      <c r="E93" s="268" t="s">
        <v>82</v>
      </c>
      <c r="F93" s="268" t="s">
        <v>3</v>
      </c>
      <c r="G93" s="308">
        <v>843</v>
      </c>
      <c r="H93" s="208">
        <v>10</v>
      </c>
      <c r="I93" s="318" t="s">
        <v>18</v>
      </c>
      <c r="J93" s="318" t="s">
        <v>276</v>
      </c>
      <c r="K93" s="318" t="s">
        <v>200</v>
      </c>
      <c r="L93" s="323">
        <v>14715.9</v>
      </c>
      <c r="M93" s="311">
        <v>24438.9</v>
      </c>
      <c r="N93" s="310">
        <v>19952.400000000001</v>
      </c>
      <c r="O93" s="311">
        <v>19952.400000000001</v>
      </c>
      <c r="P93" s="310">
        <v>19952.400000000001</v>
      </c>
      <c r="Q93" s="323">
        <f t="shared" si="82"/>
        <v>20950.020000000004</v>
      </c>
      <c r="R93" s="310">
        <f t="shared" si="83"/>
        <v>21788.020800000006</v>
      </c>
      <c r="S93" s="312">
        <f t="shared" ref="S93:U93" si="92">R93*1.04</f>
        <v>22659.541632000008</v>
      </c>
      <c r="T93" s="312">
        <f t="shared" si="92"/>
        <v>23565.923297280009</v>
      </c>
      <c r="U93" s="312">
        <f t="shared" si="92"/>
        <v>24508.560229171209</v>
      </c>
    </row>
    <row r="94" spans="1:21" ht="51" hidden="1" customHeight="1">
      <c r="A94" s="309" t="s">
        <v>10</v>
      </c>
      <c r="B94" s="309" t="s">
        <v>16</v>
      </c>
      <c r="C94" s="309" t="s">
        <v>13</v>
      </c>
      <c r="D94" s="309" t="s">
        <v>32</v>
      </c>
      <c r="E94" s="268" t="s">
        <v>83</v>
      </c>
      <c r="F94" s="268" t="s">
        <v>3</v>
      </c>
      <c r="G94" s="308">
        <v>843</v>
      </c>
      <c r="H94" s="309" t="s">
        <v>32</v>
      </c>
      <c r="I94" s="309" t="s">
        <v>18</v>
      </c>
      <c r="J94" s="318" t="s">
        <v>277</v>
      </c>
      <c r="K94" s="318" t="s">
        <v>278</v>
      </c>
      <c r="L94" s="323">
        <v>1139.2</v>
      </c>
      <c r="M94" s="323">
        <v>1281</v>
      </c>
      <c r="N94" s="310">
        <v>1279.7</v>
      </c>
      <c r="O94" s="311">
        <v>1279.7</v>
      </c>
      <c r="P94" s="310">
        <v>1279.7</v>
      </c>
      <c r="Q94" s="323">
        <f t="shared" si="82"/>
        <v>1343.6850000000002</v>
      </c>
      <c r="R94" s="310">
        <f t="shared" si="83"/>
        <v>1397.4324000000001</v>
      </c>
      <c r="S94" s="312">
        <f t="shared" ref="S94:U94" si="93">R94*1.04</f>
        <v>1453.3296960000002</v>
      </c>
      <c r="T94" s="312">
        <f t="shared" si="93"/>
        <v>1511.4628838400004</v>
      </c>
      <c r="U94" s="312">
        <f t="shared" si="93"/>
        <v>1571.9213991936003</v>
      </c>
    </row>
    <row r="95" spans="1:21" ht="25.5">
      <c r="A95" s="309" t="s">
        <v>10</v>
      </c>
      <c r="B95" s="309" t="s">
        <v>76</v>
      </c>
      <c r="C95" s="309" t="s">
        <v>16</v>
      </c>
      <c r="D95" s="309"/>
      <c r="E95" s="268" t="s">
        <v>84</v>
      </c>
      <c r="F95" s="268" t="s">
        <v>3</v>
      </c>
      <c r="G95" s="308">
        <v>843</v>
      </c>
      <c r="H95" s="309" t="s">
        <v>32</v>
      </c>
      <c r="I95" s="309" t="s">
        <v>18</v>
      </c>
      <c r="J95" s="318" t="s">
        <v>279</v>
      </c>
      <c r="K95" s="318" t="s">
        <v>280</v>
      </c>
      <c r="L95" s="323">
        <f>L96+L97+L129</f>
        <v>1500</v>
      </c>
      <c r="M95" s="323">
        <v>960</v>
      </c>
      <c r="N95" s="323">
        <v>1140</v>
      </c>
      <c r="O95" s="326">
        <v>880</v>
      </c>
      <c r="P95" s="323">
        <v>700</v>
      </c>
      <c r="Q95" s="323">
        <v>700</v>
      </c>
      <c r="R95" s="310">
        <v>700</v>
      </c>
      <c r="S95" s="312">
        <f t="shared" ref="S95:U95" si="94">R95*1.04</f>
        <v>728</v>
      </c>
      <c r="T95" s="312">
        <f t="shared" si="94"/>
        <v>757.12</v>
      </c>
      <c r="U95" s="312">
        <f t="shared" si="94"/>
        <v>787.40480000000002</v>
      </c>
    </row>
    <row r="96" spans="1:21" ht="38.25" hidden="1" customHeight="1">
      <c r="A96" s="309" t="s">
        <v>10</v>
      </c>
      <c r="B96" s="309" t="s">
        <v>16</v>
      </c>
      <c r="C96" s="309" t="s">
        <v>16</v>
      </c>
      <c r="D96" s="318" t="s">
        <v>13</v>
      </c>
      <c r="E96" s="268" t="s">
        <v>85</v>
      </c>
      <c r="F96" s="268" t="s">
        <v>3</v>
      </c>
      <c r="G96" s="308">
        <v>843</v>
      </c>
      <c r="H96" s="309" t="s">
        <v>32</v>
      </c>
      <c r="I96" s="309" t="s">
        <v>18</v>
      </c>
      <c r="J96" s="318" t="s">
        <v>281</v>
      </c>
      <c r="K96" s="318" t="s">
        <v>200</v>
      </c>
      <c r="L96" s="323">
        <v>1020</v>
      </c>
      <c r="M96" s="323">
        <v>1050</v>
      </c>
      <c r="N96" s="310">
        <v>1049</v>
      </c>
      <c r="O96" s="311">
        <v>1049</v>
      </c>
      <c r="P96" s="310">
        <v>1049</v>
      </c>
      <c r="Q96" s="323">
        <f t="shared" si="82"/>
        <v>1101.45</v>
      </c>
      <c r="R96" s="310">
        <f t="shared" si="83"/>
        <v>1145.508</v>
      </c>
      <c r="S96" s="312">
        <f t="shared" ref="S96:U96" si="95">R96*1.04</f>
        <v>1191.3283200000001</v>
      </c>
      <c r="T96" s="312">
        <f t="shared" si="95"/>
        <v>1238.9814528000002</v>
      </c>
      <c r="U96" s="312">
        <f t="shared" si="95"/>
        <v>1288.5407109120001</v>
      </c>
    </row>
    <row r="97" spans="1:21" ht="38.25" hidden="1" customHeight="1">
      <c r="A97" s="309" t="s">
        <v>10</v>
      </c>
      <c r="B97" s="309" t="s">
        <v>16</v>
      </c>
      <c r="C97" s="309" t="s">
        <v>16</v>
      </c>
      <c r="D97" s="318" t="s">
        <v>16</v>
      </c>
      <c r="E97" s="268" t="s">
        <v>86</v>
      </c>
      <c r="F97" s="268" t="s">
        <v>3</v>
      </c>
      <c r="G97" s="308">
        <v>843</v>
      </c>
      <c r="H97" s="309" t="s">
        <v>32</v>
      </c>
      <c r="I97" s="309" t="s">
        <v>18</v>
      </c>
      <c r="J97" s="318" t="s">
        <v>282</v>
      </c>
      <c r="K97" s="318" t="s">
        <v>280</v>
      </c>
      <c r="L97" s="323"/>
      <c r="M97" s="311">
        <v>525</v>
      </c>
      <c r="N97" s="310">
        <v>524.5</v>
      </c>
      <c r="O97" s="311">
        <v>524.5</v>
      </c>
      <c r="P97" s="310">
        <v>524.5</v>
      </c>
      <c r="Q97" s="323">
        <f t="shared" si="82"/>
        <v>550.72500000000002</v>
      </c>
      <c r="R97" s="310">
        <f t="shared" si="83"/>
        <v>572.75400000000002</v>
      </c>
      <c r="S97" s="312">
        <f t="shared" ref="S97:U97" si="96">R97*1.04</f>
        <v>595.66416000000004</v>
      </c>
      <c r="T97" s="312">
        <f t="shared" si="96"/>
        <v>619.49072640000009</v>
      </c>
      <c r="U97" s="312">
        <f t="shared" si="96"/>
        <v>644.27035545600006</v>
      </c>
    </row>
    <row r="98" spans="1:21" ht="38.25">
      <c r="A98" s="309" t="s">
        <v>10</v>
      </c>
      <c r="B98" s="309" t="s">
        <v>76</v>
      </c>
      <c r="C98" s="309" t="s">
        <v>18</v>
      </c>
      <c r="D98" s="322"/>
      <c r="E98" s="268" t="s">
        <v>87</v>
      </c>
      <c r="F98" s="268" t="s">
        <v>3</v>
      </c>
      <c r="G98" s="308">
        <v>843</v>
      </c>
      <c r="H98" s="309" t="s">
        <v>32</v>
      </c>
      <c r="I98" s="309" t="s">
        <v>18</v>
      </c>
      <c r="J98" s="318" t="s">
        <v>283</v>
      </c>
      <c r="K98" s="309" t="s">
        <v>284</v>
      </c>
      <c r="L98" s="323">
        <f>L99</f>
        <v>7849.5</v>
      </c>
      <c r="M98" s="323">
        <f>M99</f>
        <v>9168.2999999999993</v>
      </c>
      <c r="N98" s="323">
        <v>15929.4</v>
      </c>
      <c r="O98" s="326">
        <v>27640.6</v>
      </c>
      <c r="P98" s="323">
        <f>21628.5+2000</f>
        <v>23628.5</v>
      </c>
      <c r="Q98" s="323">
        <v>21628.5</v>
      </c>
      <c r="R98" s="310">
        <v>21628.5</v>
      </c>
      <c r="S98" s="312">
        <f t="shared" ref="S98:U98" si="97">R98*1.04</f>
        <v>22493.64</v>
      </c>
      <c r="T98" s="312">
        <f t="shared" si="97"/>
        <v>23393.385600000001</v>
      </c>
      <c r="U98" s="312">
        <f t="shared" si="97"/>
        <v>24329.121024000004</v>
      </c>
    </row>
    <row r="99" spans="1:21" ht="51" hidden="1" customHeight="1">
      <c r="A99" s="327" t="s">
        <v>10</v>
      </c>
      <c r="B99" s="309" t="s">
        <v>16</v>
      </c>
      <c r="C99" s="327" t="s">
        <v>18</v>
      </c>
      <c r="D99" s="318" t="s">
        <v>13</v>
      </c>
      <c r="E99" s="268" t="s">
        <v>88</v>
      </c>
      <c r="F99" s="268" t="s">
        <v>3</v>
      </c>
      <c r="G99" s="308">
        <v>843</v>
      </c>
      <c r="H99" s="318" t="s">
        <v>26</v>
      </c>
      <c r="I99" s="309" t="s">
        <v>26</v>
      </c>
      <c r="J99" s="318" t="s">
        <v>285</v>
      </c>
      <c r="K99" s="208">
        <v>621</v>
      </c>
      <c r="L99" s="323">
        <v>7849.5</v>
      </c>
      <c r="M99" s="323">
        <f>8503+665.3</f>
        <v>9168.2999999999993</v>
      </c>
      <c r="N99" s="310">
        <v>6590.2</v>
      </c>
      <c r="O99" s="311">
        <v>6590.2</v>
      </c>
      <c r="P99" s="310">
        <v>6590.2</v>
      </c>
      <c r="Q99" s="323">
        <f t="shared" si="82"/>
        <v>6919.71</v>
      </c>
      <c r="R99" s="310">
        <f t="shared" si="83"/>
        <v>7196.4984000000004</v>
      </c>
      <c r="S99" s="312">
        <f t="shared" ref="S99:U99" si="98">R99*1.04</f>
        <v>7484.3583360000002</v>
      </c>
      <c r="T99" s="312">
        <f t="shared" si="98"/>
        <v>7783.7326694400008</v>
      </c>
      <c r="U99" s="312">
        <f t="shared" si="98"/>
        <v>8095.0819762176016</v>
      </c>
    </row>
    <row r="100" spans="1:21" ht="25.5">
      <c r="A100" s="309" t="s">
        <v>10</v>
      </c>
      <c r="B100" s="309" t="s">
        <v>76</v>
      </c>
      <c r="C100" s="309" t="s">
        <v>20</v>
      </c>
      <c r="D100" s="308"/>
      <c r="E100" s="268" t="s">
        <v>89</v>
      </c>
      <c r="F100" s="268" t="s">
        <v>3</v>
      </c>
      <c r="G100" s="308">
        <v>843</v>
      </c>
      <c r="H100" s="308">
        <v>10</v>
      </c>
      <c r="I100" s="309" t="s">
        <v>20</v>
      </c>
      <c r="J100" s="309" t="s">
        <v>286</v>
      </c>
      <c r="K100" s="308">
        <v>240</v>
      </c>
      <c r="L100" s="323">
        <f>SUM(L101:L102)</f>
        <v>0</v>
      </c>
      <c r="M100" s="323">
        <v>0</v>
      </c>
      <c r="N100" s="323"/>
      <c r="O100" s="323"/>
      <c r="P100" s="323">
        <v>141</v>
      </c>
      <c r="Q100" s="323">
        <v>141</v>
      </c>
      <c r="R100" s="310">
        <v>141</v>
      </c>
      <c r="S100" s="312">
        <f t="shared" ref="S100:U100" si="99">R100*1.04</f>
        <v>146.64000000000001</v>
      </c>
      <c r="T100" s="312">
        <f t="shared" si="99"/>
        <v>152.50560000000002</v>
      </c>
      <c r="U100" s="312">
        <f t="shared" si="99"/>
        <v>158.60582400000001</v>
      </c>
    </row>
    <row r="101" spans="1:21" ht="178.5" hidden="1" customHeight="1">
      <c r="A101" s="309" t="s">
        <v>10</v>
      </c>
      <c r="B101" s="309" t="s">
        <v>16</v>
      </c>
      <c r="C101" s="309" t="s">
        <v>20</v>
      </c>
      <c r="D101" s="309" t="s">
        <v>13</v>
      </c>
      <c r="E101" s="268" t="s">
        <v>287</v>
      </c>
      <c r="F101" s="268" t="s">
        <v>103</v>
      </c>
      <c r="G101" s="308">
        <v>843</v>
      </c>
      <c r="H101" s="208">
        <v>10</v>
      </c>
      <c r="I101" s="309" t="s">
        <v>20</v>
      </c>
      <c r="J101" s="318" t="s">
        <v>288</v>
      </c>
      <c r="K101" s="208" t="s">
        <v>289</v>
      </c>
      <c r="L101" s="323">
        <v>0</v>
      </c>
      <c r="M101" s="311">
        <v>137.5</v>
      </c>
      <c r="N101" s="310">
        <v>137.4</v>
      </c>
      <c r="O101" s="311">
        <v>137.4</v>
      </c>
      <c r="P101" s="310">
        <v>137.4</v>
      </c>
      <c r="Q101" s="323">
        <f t="shared" si="82"/>
        <v>144.27000000000001</v>
      </c>
      <c r="R101" s="310"/>
      <c r="S101" s="312">
        <f t="shared" ref="S101:U101" si="100">R101*1.04</f>
        <v>0</v>
      </c>
      <c r="T101" s="312">
        <f t="shared" si="100"/>
        <v>0</v>
      </c>
      <c r="U101" s="312">
        <f t="shared" si="100"/>
        <v>0</v>
      </c>
    </row>
    <row r="102" spans="1:21" ht="76.5" hidden="1" customHeight="1">
      <c r="A102" s="309" t="s">
        <v>10</v>
      </c>
      <c r="B102" s="309" t="s">
        <v>16</v>
      </c>
      <c r="C102" s="309" t="s">
        <v>20</v>
      </c>
      <c r="D102" s="309" t="s">
        <v>16</v>
      </c>
      <c r="E102" s="268" t="s">
        <v>90</v>
      </c>
      <c r="F102" s="268" t="s">
        <v>103</v>
      </c>
      <c r="G102" s="308">
        <v>843</v>
      </c>
      <c r="H102" s="208">
        <v>10</v>
      </c>
      <c r="I102" s="309" t="s">
        <v>20</v>
      </c>
      <c r="J102" s="318" t="s">
        <v>290</v>
      </c>
      <c r="K102" s="208" t="s">
        <v>291</v>
      </c>
      <c r="L102" s="323">
        <v>0</v>
      </c>
      <c r="M102" s="311">
        <f>12.1-3</f>
        <v>9.1</v>
      </c>
      <c r="N102" s="310">
        <v>12.1</v>
      </c>
      <c r="O102" s="311">
        <v>12.1</v>
      </c>
      <c r="P102" s="310">
        <v>12.1</v>
      </c>
      <c r="Q102" s="323">
        <f t="shared" si="82"/>
        <v>12.705</v>
      </c>
      <c r="R102" s="310"/>
      <c r="S102" s="312">
        <f t="shared" ref="S102:U102" si="101">R102*1.04</f>
        <v>0</v>
      </c>
      <c r="T102" s="312">
        <f t="shared" si="101"/>
        <v>0</v>
      </c>
      <c r="U102" s="312">
        <f t="shared" si="101"/>
        <v>0</v>
      </c>
    </row>
    <row r="103" spans="1:21" ht="15" customHeight="1">
      <c r="A103" s="461" t="s">
        <v>10</v>
      </c>
      <c r="B103" s="461" t="s">
        <v>76</v>
      </c>
      <c r="C103" s="461" t="s">
        <v>24</v>
      </c>
      <c r="D103" s="446"/>
      <c r="E103" s="442" t="s">
        <v>91</v>
      </c>
      <c r="F103" s="268" t="s">
        <v>190</v>
      </c>
      <c r="G103" s="308"/>
      <c r="H103" s="208"/>
      <c r="I103" s="309"/>
      <c r="J103" s="318"/>
      <c r="K103" s="208"/>
      <c r="L103" s="323">
        <f>L104+L105+L107+L106</f>
        <v>307832.90000000008</v>
      </c>
      <c r="M103" s="323">
        <f t="shared" ref="M103:R103" si="102">M104+M105+M107+M106</f>
        <v>348774.9</v>
      </c>
      <c r="N103" s="323">
        <f t="shared" si="102"/>
        <v>321750.85285000002</v>
      </c>
      <c r="O103" s="323">
        <f t="shared" si="102"/>
        <v>387745.6</v>
      </c>
      <c r="P103" s="323">
        <f t="shared" si="102"/>
        <v>94848.5</v>
      </c>
      <c r="Q103" s="323">
        <f t="shared" si="102"/>
        <v>94940.9</v>
      </c>
      <c r="R103" s="323">
        <f t="shared" si="102"/>
        <v>94940.9</v>
      </c>
      <c r="S103" s="312">
        <f t="shared" ref="S103:U103" si="103">R103*1.04</f>
        <v>98738.535999999993</v>
      </c>
      <c r="T103" s="312">
        <f t="shared" si="103"/>
        <v>102688.07743999999</v>
      </c>
      <c r="U103" s="312">
        <f t="shared" si="103"/>
        <v>106795.6005376</v>
      </c>
    </row>
    <row r="104" spans="1:21" ht="51.75" customHeight="1">
      <c r="A104" s="462"/>
      <c r="B104" s="462"/>
      <c r="C104" s="462"/>
      <c r="D104" s="451"/>
      <c r="E104" s="452"/>
      <c r="F104" s="268" t="s">
        <v>3</v>
      </c>
      <c r="G104" s="308">
        <v>843</v>
      </c>
      <c r="H104" s="318" t="s">
        <v>32</v>
      </c>
      <c r="I104" s="309" t="s">
        <v>18</v>
      </c>
      <c r="J104" s="318" t="s">
        <v>292</v>
      </c>
      <c r="K104" s="208" t="s">
        <v>461</v>
      </c>
      <c r="L104" s="323">
        <f>34881.7+L118+L119-7098.6</f>
        <v>280579.20000000007</v>
      </c>
      <c r="M104" s="311">
        <v>295368.2</v>
      </c>
      <c r="N104" s="311">
        <v>297745.15235000005</v>
      </c>
      <c r="O104" s="326">
        <v>360614.6</v>
      </c>
      <c r="P104" s="311">
        <v>706.1</v>
      </c>
      <c r="Q104" s="323">
        <v>706.1</v>
      </c>
      <c r="R104" s="310">
        <v>706.1</v>
      </c>
      <c r="S104" s="312">
        <f t="shared" ref="S104:U104" si="104">R104*1.04</f>
        <v>734.34400000000005</v>
      </c>
      <c r="T104" s="312">
        <f t="shared" si="104"/>
        <v>763.71776000000011</v>
      </c>
      <c r="U104" s="312">
        <f t="shared" si="104"/>
        <v>794.26647040000012</v>
      </c>
    </row>
    <row r="105" spans="1:21" ht="25.5">
      <c r="A105" s="462"/>
      <c r="B105" s="462"/>
      <c r="C105" s="462"/>
      <c r="D105" s="451"/>
      <c r="E105" s="452"/>
      <c r="F105" s="268" t="s">
        <v>92</v>
      </c>
      <c r="G105" s="308">
        <v>855</v>
      </c>
      <c r="H105" s="318" t="s">
        <v>30</v>
      </c>
      <c r="I105" s="309" t="s">
        <v>30</v>
      </c>
      <c r="J105" s="318" t="s">
        <v>293</v>
      </c>
      <c r="K105" s="208" t="s">
        <v>477</v>
      </c>
      <c r="L105" s="323">
        <v>26527</v>
      </c>
      <c r="M105" s="311">
        <v>53406.7</v>
      </c>
      <c r="N105" s="310">
        <v>24005.700499999999</v>
      </c>
      <c r="O105" s="311">
        <v>27131</v>
      </c>
      <c r="P105" s="310">
        <v>6001.4</v>
      </c>
      <c r="Q105" s="310">
        <v>6001.4</v>
      </c>
      <c r="R105" s="310">
        <v>6001.4</v>
      </c>
      <c r="S105" s="312">
        <f t="shared" ref="S105:U105" si="105">R105*1.04</f>
        <v>6241.4560000000001</v>
      </c>
      <c r="T105" s="312">
        <f t="shared" si="105"/>
        <v>6491.1142400000008</v>
      </c>
      <c r="U105" s="312">
        <f t="shared" si="105"/>
        <v>6750.7588096000009</v>
      </c>
    </row>
    <row r="106" spans="1:21" ht="52.5" customHeight="1">
      <c r="A106" s="462"/>
      <c r="B106" s="462"/>
      <c r="C106" s="462"/>
      <c r="D106" s="451"/>
      <c r="E106" s="452"/>
      <c r="F106" s="268" t="s">
        <v>475</v>
      </c>
      <c r="G106" s="309">
        <v>833</v>
      </c>
      <c r="H106" s="318" t="s">
        <v>32</v>
      </c>
      <c r="I106" s="309" t="s">
        <v>20</v>
      </c>
      <c r="J106" s="318" t="s">
        <v>476</v>
      </c>
      <c r="K106" s="318" t="s">
        <v>10</v>
      </c>
      <c r="L106" s="323">
        <v>0</v>
      </c>
      <c r="M106" s="323">
        <v>0</v>
      </c>
      <c r="N106" s="323">
        <v>0</v>
      </c>
      <c r="O106" s="323">
        <v>0</v>
      </c>
      <c r="P106" s="310">
        <v>88141</v>
      </c>
      <c r="Q106" s="310">
        <v>88233.4</v>
      </c>
      <c r="R106" s="310">
        <v>88233.4</v>
      </c>
      <c r="S106" s="312">
        <f t="shared" ref="S106:U106" si="106">R106*1.04</f>
        <v>91762.73599999999</v>
      </c>
      <c r="T106" s="312">
        <f t="shared" si="106"/>
        <v>95433.245439999999</v>
      </c>
      <c r="U106" s="312">
        <f t="shared" si="106"/>
        <v>99250.575257600009</v>
      </c>
    </row>
    <row r="107" spans="1:21" ht="38.25">
      <c r="A107" s="463"/>
      <c r="B107" s="463"/>
      <c r="C107" s="463"/>
      <c r="D107" s="447"/>
      <c r="E107" s="443"/>
      <c r="F107" s="268" t="s">
        <v>93</v>
      </c>
      <c r="G107" s="308">
        <v>835</v>
      </c>
      <c r="H107" s="318" t="s">
        <v>36</v>
      </c>
      <c r="I107" s="309" t="s">
        <v>20</v>
      </c>
      <c r="J107" s="318" t="s">
        <v>294</v>
      </c>
      <c r="K107" s="208">
        <v>320</v>
      </c>
      <c r="L107" s="323">
        <f>545+181.7</f>
        <v>726.7</v>
      </c>
      <c r="M107" s="311">
        <v>0</v>
      </c>
      <c r="N107" s="310">
        <v>0</v>
      </c>
      <c r="O107" s="311">
        <v>0</v>
      </c>
      <c r="P107" s="310">
        <v>0</v>
      </c>
      <c r="Q107" s="323">
        <f t="shared" si="82"/>
        <v>0</v>
      </c>
      <c r="R107" s="323">
        <f t="shared" si="82"/>
        <v>0</v>
      </c>
      <c r="S107" s="312">
        <f t="shared" ref="S107:U107" si="107">R107*1.04</f>
        <v>0</v>
      </c>
      <c r="T107" s="312">
        <f t="shared" si="107"/>
        <v>0</v>
      </c>
      <c r="U107" s="312">
        <f t="shared" si="107"/>
        <v>0</v>
      </c>
    </row>
    <row r="108" spans="1:21" ht="38.25" hidden="1" customHeight="1">
      <c r="A108" s="328" t="s">
        <v>10</v>
      </c>
      <c r="B108" s="328" t="s">
        <v>16</v>
      </c>
      <c r="C108" s="328" t="s">
        <v>24</v>
      </c>
      <c r="D108" s="328" t="s">
        <v>13</v>
      </c>
      <c r="E108" s="268" t="s">
        <v>94</v>
      </c>
      <c r="F108" s="268" t="s">
        <v>103</v>
      </c>
      <c r="G108" s="308">
        <v>843</v>
      </c>
      <c r="H108" s="318" t="s">
        <v>32</v>
      </c>
      <c r="I108" s="309" t="s">
        <v>18</v>
      </c>
      <c r="J108" s="318" t="s">
        <v>295</v>
      </c>
      <c r="K108" s="208" t="s">
        <v>296</v>
      </c>
      <c r="L108" s="323"/>
      <c r="M108" s="311">
        <f>6672-205.5</f>
        <v>6466.5</v>
      </c>
      <c r="N108" s="310">
        <f>635.8+7039</f>
        <v>7674.8</v>
      </c>
      <c r="O108" s="311">
        <f>635.8+7039</f>
        <v>7674.8</v>
      </c>
      <c r="P108" s="310">
        <f>635.8+7039</f>
        <v>7674.8</v>
      </c>
      <c r="Q108" s="323">
        <f t="shared" si="82"/>
        <v>8058.5400000000009</v>
      </c>
      <c r="R108" s="310">
        <f t="shared" ref="R108:R110" si="108">Q108*1.04</f>
        <v>8380.8816000000006</v>
      </c>
      <c r="S108" s="312">
        <f t="shared" ref="S108:U108" si="109">R108*1.04</f>
        <v>8716.1168640000014</v>
      </c>
      <c r="T108" s="312">
        <f t="shared" si="109"/>
        <v>9064.761538560002</v>
      </c>
      <c r="U108" s="312">
        <f t="shared" si="109"/>
        <v>9427.3520001024026</v>
      </c>
    </row>
    <row r="109" spans="1:21" ht="38.25" hidden="1" customHeight="1">
      <c r="A109" s="328" t="s">
        <v>10</v>
      </c>
      <c r="B109" s="328" t="s">
        <v>16</v>
      </c>
      <c r="C109" s="328" t="s">
        <v>24</v>
      </c>
      <c r="D109" s="328" t="s">
        <v>16</v>
      </c>
      <c r="E109" s="268" t="s">
        <v>95</v>
      </c>
      <c r="F109" s="268" t="s">
        <v>103</v>
      </c>
      <c r="G109" s="308">
        <v>843</v>
      </c>
      <c r="H109" s="318" t="s">
        <v>32</v>
      </c>
      <c r="I109" s="309" t="s">
        <v>20</v>
      </c>
      <c r="J109" s="318" t="s">
        <v>297</v>
      </c>
      <c r="K109" s="208">
        <v>530</v>
      </c>
      <c r="L109" s="323"/>
      <c r="M109" s="311">
        <f>245582.7-2100+29719</f>
        <v>273201.7</v>
      </c>
      <c r="N109" s="310">
        <f>149263.8+13205.6</f>
        <v>162469.4</v>
      </c>
      <c r="O109" s="311">
        <f>149263.8+13205.6</f>
        <v>162469.4</v>
      </c>
      <c r="P109" s="310">
        <f>149263.8+13205.6</f>
        <v>162469.4</v>
      </c>
      <c r="Q109" s="323">
        <f t="shared" si="82"/>
        <v>170592.87</v>
      </c>
      <c r="R109" s="310">
        <f t="shared" si="108"/>
        <v>177416.58480000001</v>
      </c>
      <c r="S109" s="312">
        <f t="shared" ref="S109:U109" si="110">R109*1.04</f>
        <v>184513.24819200003</v>
      </c>
      <c r="T109" s="312">
        <f t="shared" si="110"/>
        <v>191893.77811968004</v>
      </c>
      <c r="U109" s="312">
        <f t="shared" si="110"/>
        <v>199569.52924446724</v>
      </c>
    </row>
    <row r="110" spans="1:21" ht="63.75" hidden="1" customHeight="1">
      <c r="A110" s="328" t="s">
        <v>10</v>
      </c>
      <c r="B110" s="328" t="s">
        <v>16</v>
      </c>
      <c r="C110" s="328" t="s">
        <v>24</v>
      </c>
      <c r="D110" s="328" t="s">
        <v>18</v>
      </c>
      <c r="E110" s="268" t="s">
        <v>96</v>
      </c>
      <c r="F110" s="268" t="s">
        <v>103</v>
      </c>
      <c r="G110" s="308">
        <v>843</v>
      </c>
      <c r="H110" s="318" t="s">
        <v>32</v>
      </c>
      <c r="I110" s="309" t="s">
        <v>18</v>
      </c>
      <c r="J110" s="318" t="s">
        <v>298</v>
      </c>
      <c r="K110" s="208">
        <v>530</v>
      </c>
      <c r="L110" s="323"/>
      <c r="M110" s="311">
        <v>20001</v>
      </c>
      <c r="N110" s="311">
        <f>763+731+594+739+450+328+422+904+812+207+361+842+382+216+368+781+904+514+845+290+1367+406+282+664+370+2846+570+514+749+779</f>
        <v>20000</v>
      </c>
      <c r="O110" s="311">
        <f>763+731+594+739+450+328+422+904+812+207+361+842+382+216+368+781+904+514+845+290+1367+406+282+664+370+2846+570+514+749+779</f>
        <v>20000</v>
      </c>
      <c r="P110" s="311">
        <f>763+731+594+739+450+328+422+904+812+207+361+842+382+216+368+781+904+514+845+290+1367+406+282+664+370+2846+570+514+749+779</f>
        <v>20000</v>
      </c>
      <c r="Q110" s="323">
        <f t="shared" si="82"/>
        <v>21000</v>
      </c>
      <c r="R110" s="310">
        <f t="shared" si="108"/>
        <v>21840</v>
      </c>
      <c r="S110" s="312">
        <f t="shared" ref="S110:U110" si="111">R110*1.04</f>
        <v>22713.600000000002</v>
      </c>
      <c r="T110" s="312">
        <f t="shared" si="111"/>
        <v>23622.144000000004</v>
      </c>
      <c r="U110" s="312">
        <f t="shared" si="111"/>
        <v>24567.029760000005</v>
      </c>
    </row>
    <row r="111" spans="1:21" ht="25.5">
      <c r="A111" s="329" t="s">
        <v>10</v>
      </c>
      <c r="B111" s="329" t="s">
        <v>76</v>
      </c>
      <c r="C111" s="329" t="s">
        <v>26</v>
      </c>
      <c r="D111" s="329"/>
      <c r="E111" s="268" t="s">
        <v>97</v>
      </c>
      <c r="F111" s="268" t="s">
        <v>3</v>
      </c>
      <c r="G111" s="308">
        <v>843</v>
      </c>
      <c r="H111" s="318" t="s">
        <v>32</v>
      </c>
      <c r="I111" s="309" t="s">
        <v>16</v>
      </c>
      <c r="J111" s="318" t="s">
        <v>299</v>
      </c>
      <c r="K111" s="208">
        <v>320</v>
      </c>
      <c r="L111" s="311">
        <f>L112+L113+L114+L115</f>
        <v>0</v>
      </c>
      <c r="M111" s="311">
        <v>655.6</v>
      </c>
      <c r="N111" s="311">
        <v>715.34186</v>
      </c>
      <c r="O111" s="326">
        <v>910</v>
      </c>
      <c r="P111" s="311">
        <v>1148.3</v>
      </c>
      <c r="Q111" s="323">
        <v>1148.3</v>
      </c>
      <c r="R111" s="310">
        <v>1148.3</v>
      </c>
      <c r="S111" s="312">
        <f t="shared" ref="S111:U111" si="112">R111*1.04</f>
        <v>1194.232</v>
      </c>
      <c r="T111" s="312">
        <f t="shared" si="112"/>
        <v>1242.00128</v>
      </c>
      <c r="U111" s="312">
        <f t="shared" si="112"/>
        <v>1291.6813311999999</v>
      </c>
    </row>
    <row r="112" spans="1:21" ht="38.25" hidden="1">
      <c r="A112" s="329" t="s">
        <v>10</v>
      </c>
      <c r="B112" s="329" t="s">
        <v>16</v>
      </c>
      <c r="C112" s="329" t="s">
        <v>26</v>
      </c>
      <c r="D112" s="329" t="s">
        <v>13</v>
      </c>
      <c r="E112" s="268" t="s">
        <v>98</v>
      </c>
      <c r="F112" s="268" t="s">
        <v>103</v>
      </c>
      <c r="G112" s="308">
        <v>843</v>
      </c>
      <c r="H112" s="318" t="s">
        <v>32</v>
      </c>
      <c r="I112" s="309" t="s">
        <v>16</v>
      </c>
      <c r="J112" s="318" t="s">
        <v>300</v>
      </c>
      <c r="K112" s="208">
        <v>320</v>
      </c>
      <c r="L112" s="330"/>
      <c r="M112" s="323">
        <v>254.4</v>
      </c>
      <c r="N112" s="310">
        <v>166</v>
      </c>
      <c r="O112" s="311">
        <v>166</v>
      </c>
      <c r="P112" s="310">
        <v>166</v>
      </c>
      <c r="Q112" s="323">
        <f t="shared" si="82"/>
        <v>174.3</v>
      </c>
      <c r="R112" s="310"/>
      <c r="S112" s="312">
        <f t="shared" ref="S112:U112" si="113">R112*1.04</f>
        <v>0</v>
      </c>
      <c r="T112" s="312">
        <f t="shared" si="113"/>
        <v>0</v>
      </c>
      <c r="U112" s="312">
        <f t="shared" si="113"/>
        <v>0</v>
      </c>
    </row>
    <row r="113" spans="1:21" ht="51" hidden="1">
      <c r="A113" s="329" t="s">
        <v>10</v>
      </c>
      <c r="B113" s="329" t="s">
        <v>16</v>
      </c>
      <c r="C113" s="329" t="s">
        <v>26</v>
      </c>
      <c r="D113" s="329" t="s">
        <v>16</v>
      </c>
      <c r="E113" s="268" t="s">
        <v>99</v>
      </c>
      <c r="F113" s="268" t="s">
        <v>103</v>
      </c>
      <c r="G113" s="308">
        <v>843</v>
      </c>
      <c r="H113" s="318" t="s">
        <v>32</v>
      </c>
      <c r="I113" s="309" t="s">
        <v>16</v>
      </c>
      <c r="J113" s="318" t="s">
        <v>301</v>
      </c>
      <c r="K113" s="208">
        <v>320</v>
      </c>
      <c r="L113" s="330"/>
      <c r="M113" s="323">
        <v>976.7</v>
      </c>
      <c r="N113" s="310">
        <v>247.8</v>
      </c>
      <c r="O113" s="311">
        <v>247.8</v>
      </c>
      <c r="P113" s="310">
        <v>247.8</v>
      </c>
      <c r="Q113" s="323">
        <f t="shared" si="82"/>
        <v>260.19</v>
      </c>
      <c r="R113" s="310"/>
      <c r="S113" s="312">
        <f t="shared" ref="S113:U113" si="114">R113*1.04</f>
        <v>0</v>
      </c>
      <c r="T113" s="312">
        <f t="shared" si="114"/>
        <v>0</v>
      </c>
      <c r="U113" s="312">
        <f t="shared" si="114"/>
        <v>0</v>
      </c>
    </row>
    <row r="114" spans="1:21" ht="51" hidden="1">
      <c r="A114" s="329" t="s">
        <v>10</v>
      </c>
      <c r="B114" s="329" t="s">
        <v>16</v>
      </c>
      <c r="C114" s="329" t="s">
        <v>26</v>
      </c>
      <c r="D114" s="329" t="s">
        <v>18</v>
      </c>
      <c r="E114" s="268" t="s">
        <v>100</v>
      </c>
      <c r="F114" s="268" t="s">
        <v>103</v>
      </c>
      <c r="G114" s="308">
        <v>843</v>
      </c>
      <c r="H114" s="318" t="s">
        <v>32</v>
      </c>
      <c r="I114" s="309" t="s">
        <v>16</v>
      </c>
      <c r="J114" s="318" t="s">
        <v>302</v>
      </c>
      <c r="K114" s="208">
        <v>320</v>
      </c>
      <c r="L114" s="330"/>
      <c r="M114" s="323">
        <v>3</v>
      </c>
      <c r="N114" s="310">
        <v>184.4</v>
      </c>
      <c r="O114" s="311">
        <v>184.4</v>
      </c>
      <c r="P114" s="310">
        <v>184.4</v>
      </c>
      <c r="Q114" s="323">
        <f t="shared" si="82"/>
        <v>193.62</v>
      </c>
      <c r="R114" s="310"/>
      <c r="S114" s="312">
        <f t="shared" ref="S114:U114" si="115">R114*1.04</f>
        <v>0</v>
      </c>
      <c r="T114" s="312">
        <f t="shared" si="115"/>
        <v>0</v>
      </c>
      <c r="U114" s="312">
        <f t="shared" si="115"/>
        <v>0</v>
      </c>
    </row>
    <row r="115" spans="1:21" ht="38.25" hidden="1">
      <c r="A115" s="329" t="s">
        <v>10</v>
      </c>
      <c r="B115" s="329" t="s">
        <v>16</v>
      </c>
      <c r="C115" s="329" t="s">
        <v>26</v>
      </c>
      <c r="D115" s="329" t="s">
        <v>20</v>
      </c>
      <c r="E115" s="268" t="s">
        <v>101</v>
      </c>
      <c r="F115" s="268" t="s">
        <v>103</v>
      </c>
      <c r="G115" s="308">
        <v>843</v>
      </c>
      <c r="H115" s="318" t="s">
        <v>32</v>
      </c>
      <c r="I115" s="309" t="s">
        <v>16</v>
      </c>
      <c r="J115" s="318" t="s">
        <v>303</v>
      </c>
      <c r="K115" s="208">
        <v>320</v>
      </c>
      <c r="L115" s="323"/>
      <c r="M115" s="311">
        <v>43.1</v>
      </c>
      <c r="N115" s="311">
        <v>0</v>
      </c>
      <c r="O115" s="311">
        <v>0</v>
      </c>
      <c r="P115" s="311">
        <v>0</v>
      </c>
      <c r="Q115" s="323">
        <f t="shared" si="82"/>
        <v>0</v>
      </c>
      <c r="R115" s="310"/>
      <c r="S115" s="312">
        <f t="shared" ref="S115:U115" si="116">R115*1.04</f>
        <v>0</v>
      </c>
      <c r="T115" s="312">
        <f t="shared" si="116"/>
        <v>0</v>
      </c>
      <c r="U115" s="312">
        <f t="shared" si="116"/>
        <v>0</v>
      </c>
    </row>
    <row r="116" spans="1:21" ht="38.25" hidden="1">
      <c r="A116" s="309"/>
      <c r="B116" s="309"/>
      <c r="C116" s="327"/>
      <c r="D116" s="327"/>
      <c r="E116" s="268" t="s">
        <v>116</v>
      </c>
      <c r="F116" s="268" t="s">
        <v>103</v>
      </c>
      <c r="G116" s="308">
        <v>843</v>
      </c>
      <c r="H116" s="318" t="s">
        <v>26</v>
      </c>
      <c r="I116" s="309" t="s">
        <v>26</v>
      </c>
      <c r="J116" s="318" t="s">
        <v>304</v>
      </c>
      <c r="K116" s="208">
        <v>622</v>
      </c>
      <c r="L116" s="323">
        <v>0</v>
      </c>
      <c r="M116" s="311">
        <v>0</v>
      </c>
      <c r="N116" s="310">
        <v>22.7</v>
      </c>
      <c r="O116" s="311">
        <v>22.7</v>
      </c>
      <c r="P116" s="310">
        <v>22.7</v>
      </c>
      <c r="Q116" s="323">
        <f t="shared" si="82"/>
        <v>23.835000000000001</v>
      </c>
      <c r="R116" s="310"/>
      <c r="S116" s="312">
        <f t="shared" ref="S116:U116" si="117">R116*1.04</f>
        <v>0</v>
      </c>
      <c r="T116" s="312">
        <f t="shared" si="117"/>
        <v>0</v>
      </c>
      <c r="U116" s="312">
        <f t="shared" si="117"/>
        <v>0</v>
      </c>
    </row>
    <row r="117" spans="1:21" ht="63.75" hidden="1">
      <c r="A117" s="327"/>
      <c r="B117" s="327"/>
      <c r="C117" s="327"/>
      <c r="D117" s="327"/>
      <c r="E117" s="268" t="s">
        <v>305</v>
      </c>
      <c r="F117" s="268" t="s">
        <v>103</v>
      </c>
      <c r="G117" s="308">
        <v>843</v>
      </c>
      <c r="H117" s="318"/>
      <c r="I117" s="309"/>
      <c r="J117" s="318"/>
      <c r="K117" s="208"/>
      <c r="L117" s="323">
        <f>L118+L119</f>
        <v>252796.1</v>
      </c>
      <c r="M117" s="323">
        <f>M118+M119</f>
        <v>0</v>
      </c>
      <c r="N117" s="323">
        <f>N118+N119</f>
        <v>0</v>
      </c>
      <c r="O117" s="323">
        <f>O118+O119</f>
        <v>0</v>
      </c>
      <c r="P117" s="323">
        <f>P118+P119</f>
        <v>0</v>
      </c>
      <c r="Q117" s="323">
        <f t="shared" si="82"/>
        <v>0</v>
      </c>
      <c r="R117" s="310"/>
      <c r="S117" s="312">
        <f t="shared" ref="S117:U117" si="118">R117*1.04</f>
        <v>0</v>
      </c>
      <c r="T117" s="312">
        <f t="shared" si="118"/>
        <v>0</v>
      </c>
      <c r="U117" s="312">
        <f t="shared" si="118"/>
        <v>0</v>
      </c>
    </row>
    <row r="118" spans="1:21" ht="38.25" hidden="1">
      <c r="A118" s="327"/>
      <c r="B118" s="327"/>
      <c r="C118" s="327"/>
      <c r="D118" s="327"/>
      <c r="E118" s="268" t="s">
        <v>306</v>
      </c>
      <c r="F118" s="268" t="s">
        <v>103</v>
      </c>
      <c r="G118" s="308">
        <v>843</v>
      </c>
      <c r="H118" s="318" t="s">
        <v>13</v>
      </c>
      <c r="I118" s="309" t="s">
        <v>20</v>
      </c>
      <c r="J118" s="318" t="s">
        <v>307</v>
      </c>
      <c r="K118" s="208">
        <v>530</v>
      </c>
      <c r="L118" s="323">
        <v>231449.7</v>
      </c>
      <c r="M118" s="311">
        <v>0</v>
      </c>
      <c r="N118" s="310">
        <v>0</v>
      </c>
      <c r="O118" s="311">
        <v>0</v>
      </c>
      <c r="P118" s="310">
        <v>0</v>
      </c>
      <c r="Q118" s="323">
        <f t="shared" si="82"/>
        <v>0</v>
      </c>
      <c r="R118" s="310"/>
      <c r="S118" s="312">
        <f t="shared" ref="S118:U118" si="119">R118*1.04</f>
        <v>0</v>
      </c>
      <c r="T118" s="312">
        <f t="shared" si="119"/>
        <v>0</v>
      </c>
      <c r="U118" s="312">
        <f t="shared" si="119"/>
        <v>0</v>
      </c>
    </row>
    <row r="119" spans="1:21" ht="51" hidden="1">
      <c r="A119" s="327"/>
      <c r="B119" s="327"/>
      <c r="C119" s="327"/>
      <c r="D119" s="327"/>
      <c r="E119" s="268" t="s">
        <v>308</v>
      </c>
      <c r="F119" s="268" t="s">
        <v>103</v>
      </c>
      <c r="G119" s="308">
        <v>843</v>
      </c>
      <c r="H119" s="318" t="s">
        <v>32</v>
      </c>
      <c r="I119" s="309" t="s">
        <v>20</v>
      </c>
      <c r="J119" s="318" t="s">
        <v>309</v>
      </c>
      <c r="K119" s="208">
        <v>530</v>
      </c>
      <c r="L119" s="323">
        <v>21346.400000000001</v>
      </c>
      <c r="M119" s="311">
        <v>0</v>
      </c>
      <c r="N119" s="310">
        <v>0</v>
      </c>
      <c r="O119" s="311">
        <v>0</v>
      </c>
      <c r="P119" s="310">
        <v>0</v>
      </c>
      <c r="Q119" s="323">
        <f t="shared" si="82"/>
        <v>0</v>
      </c>
      <c r="R119" s="310"/>
      <c r="S119" s="312">
        <f t="shared" ref="S119:U119" si="120">R119*1.04</f>
        <v>0</v>
      </c>
      <c r="T119" s="312">
        <f t="shared" si="120"/>
        <v>0</v>
      </c>
      <c r="U119" s="312">
        <f t="shared" si="120"/>
        <v>0</v>
      </c>
    </row>
    <row r="120" spans="1:21" ht="38.25" hidden="1">
      <c r="A120" s="327"/>
      <c r="B120" s="327"/>
      <c r="C120" s="327"/>
      <c r="D120" s="327"/>
      <c r="E120" s="268" t="s">
        <v>310</v>
      </c>
      <c r="F120" s="268" t="s">
        <v>103</v>
      </c>
      <c r="G120" s="308">
        <v>843</v>
      </c>
      <c r="H120" s="318" t="s">
        <v>32</v>
      </c>
      <c r="I120" s="309" t="s">
        <v>20</v>
      </c>
      <c r="J120" s="318" t="s">
        <v>311</v>
      </c>
      <c r="K120" s="208" t="s">
        <v>312</v>
      </c>
      <c r="L120" s="323">
        <f t="shared" ref="L120:R120" si="121">SUM(L121:L125)</f>
        <v>95942.16</v>
      </c>
      <c r="M120" s="323">
        <f t="shared" si="121"/>
        <v>0</v>
      </c>
      <c r="N120" s="323">
        <f t="shared" si="121"/>
        <v>0</v>
      </c>
      <c r="O120" s="323">
        <f t="shared" si="121"/>
        <v>0</v>
      </c>
      <c r="P120" s="323">
        <f t="shared" si="121"/>
        <v>0</v>
      </c>
      <c r="Q120" s="323">
        <f t="shared" si="121"/>
        <v>0</v>
      </c>
      <c r="R120" s="323">
        <f t="shared" si="121"/>
        <v>0</v>
      </c>
      <c r="S120" s="312">
        <f t="shared" ref="S120:U120" si="122">R120*1.04</f>
        <v>0</v>
      </c>
      <c r="T120" s="312">
        <f t="shared" si="122"/>
        <v>0</v>
      </c>
      <c r="U120" s="312">
        <f t="shared" si="122"/>
        <v>0</v>
      </c>
    </row>
    <row r="121" spans="1:21" ht="15" hidden="1">
      <c r="A121" s="446"/>
      <c r="B121" s="446"/>
      <c r="C121" s="446"/>
      <c r="D121" s="446"/>
      <c r="E121" s="442" t="s">
        <v>313</v>
      </c>
      <c r="F121" s="442" t="s">
        <v>103</v>
      </c>
      <c r="G121" s="448">
        <v>843</v>
      </c>
      <c r="H121" s="318" t="s">
        <v>32</v>
      </c>
      <c r="I121" s="309" t="s">
        <v>20</v>
      </c>
      <c r="J121" s="318" t="s">
        <v>314</v>
      </c>
      <c r="K121" s="208">
        <v>530</v>
      </c>
      <c r="L121" s="323">
        <v>16391.5</v>
      </c>
      <c r="M121" s="311">
        <v>0</v>
      </c>
      <c r="N121" s="310">
        <v>0</v>
      </c>
      <c r="O121" s="311">
        <v>0</v>
      </c>
      <c r="P121" s="310">
        <v>0</v>
      </c>
      <c r="Q121" s="323">
        <f t="shared" si="82"/>
        <v>0</v>
      </c>
      <c r="R121" s="310"/>
      <c r="S121" s="312">
        <f t="shared" ref="S121:U121" si="123">R121*1.04</f>
        <v>0</v>
      </c>
      <c r="T121" s="312">
        <f t="shared" si="123"/>
        <v>0</v>
      </c>
      <c r="U121" s="312">
        <f t="shared" si="123"/>
        <v>0</v>
      </c>
    </row>
    <row r="122" spans="1:21" ht="15" hidden="1">
      <c r="A122" s="447"/>
      <c r="B122" s="447"/>
      <c r="C122" s="447"/>
      <c r="D122" s="447"/>
      <c r="E122" s="443"/>
      <c r="F122" s="443"/>
      <c r="G122" s="449"/>
      <c r="H122" s="318" t="s">
        <v>32</v>
      </c>
      <c r="I122" s="309" t="s">
        <v>20</v>
      </c>
      <c r="J122" s="318" t="s">
        <v>315</v>
      </c>
      <c r="K122" s="208">
        <v>530</v>
      </c>
      <c r="L122" s="323">
        <v>320</v>
      </c>
      <c r="M122" s="311">
        <v>0</v>
      </c>
      <c r="N122" s="310">
        <v>0</v>
      </c>
      <c r="O122" s="311">
        <v>0</v>
      </c>
      <c r="P122" s="310">
        <v>0</v>
      </c>
      <c r="Q122" s="323">
        <f t="shared" si="82"/>
        <v>0</v>
      </c>
      <c r="R122" s="310"/>
      <c r="S122" s="312">
        <f t="shared" ref="S122:U122" si="124">R122*1.04</f>
        <v>0</v>
      </c>
      <c r="T122" s="312">
        <f t="shared" si="124"/>
        <v>0</v>
      </c>
      <c r="U122" s="312">
        <f t="shared" si="124"/>
        <v>0</v>
      </c>
    </row>
    <row r="123" spans="1:21" ht="38.25" hidden="1">
      <c r="A123" s="327"/>
      <c r="B123" s="327"/>
      <c r="C123" s="327"/>
      <c r="D123" s="327"/>
      <c r="E123" s="268" t="s">
        <v>104</v>
      </c>
      <c r="F123" s="268" t="s">
        <v>103</v>
      </c>
      <c r="G123" s="308">
        <v>843</v>
      </c>
      <c r="H123" s="318" t="s">
        <v>32</v>
      </c>
      <c r="I123" s="309" t="s">
        <v>20</v>
      </c>
      <c r="J123" s="318" t="s">
        <v>316</v>
      </c>
      <c r="K123" s="208">
        <v>321</v>
      </c>
      <c r="L123" s="323">
        <v>4700</v>
      </c>
      <c r="M123" s="311">
        <v>0</v>
      </c>
      <c r="N123" s="310">
        <v>0</v>
      </c>
      <c r="O123" s="311">
        <v>0</v>
      </c>
      <c r="P123" s="310">
        <v>0</v>
      </c>
      <c r="Q123" s="323">
        <f t="shared" si="82"/>
        <v>0</v>
      </c>
      <c r="R123" s="310"/>
      <c r="S123" s="312">
        <f t="shared" ref="S123:U123" si="125">R123*1.04</f>
        <v>0</v>
      </c>
      <c r="T123" s="312">
        <f t="shared" si="125"/>
        <v>0</v>
      </c>
      <c r="U123" s="312">
        <f t="shared" si="125"/>
        <v>0</v>
      </c>
    </row>
    <row r="124" spans="1:21" ht="38.25" hidden="1">
      <c r="A124" s="327"/>
      <c r="B124" s="327"/>
      <c r="C124" s="327"/>
      <c r="D124" s="327"/>
      <c r="E124" s="272" t="s">
        <v>105</v>
      </c>
      <c r="F124" s="268" t="s">
        <v>103</v>
      </c>
      <c r="G124" s="308">
        <v>843</v>
      </c>
      <c r="H124" s="318" t="s">
        <v>13</v>
      </c>
      <c r="I124" s="309" t="s">
        <v>20</v>
      </c>
      <c r="J124" s="318" t="s">
        <v>317</v>
      </c>
      <c r="K124" s="208">
        <v>530</v>
      </c>
      <c r="L124" s="323">
        <v>3580.16</v>
      </c>
      <c r="M124" s="311">
        <v>0</v>
      </c>
      <c r="N124" s="310">
        <v>0</v>
      </c>
      <c r="O124" s="311">
        <v>0</v>
      </c>
      <c r="P124" s="310">
        <v>0</v>
      </c>
      <c r="Q124" s="323">
        <f t="shared" si="82"/>
        <v>0</v>
      </c>
      <c r="R124" s="310"/>
      <c r="S124" s="312">
        <f t="shared" ref="S124:U124" si="126">R124*1.04</f>
        <v>0</v>
      </c>
      <c r="T124" s="312">
        <f t="shared" si="126"/>
        <v>0</v>
      </c>
      <c r="U124" s="312">
        <f t="shared" si="126"/>
        <v>0</v>
      </c>
    </row>
    <row r="125" spans="1:21" ht="38.25" hidden="1">
      <c r="A125" s="327"/>
      <c r="B125" s="327"/>
      <c r="C125" s="327"/>
      <c r="D125" s="327"/>
      <c r="E125" s="268" t="s">
        <v>106</v>
      </c>
      <c r="F125" s="268" t="s">
        <v>103</v>
      </c>
      <c r="G125" s="308">
        <v>843</v>
      </c>
      <c r="H125" s="318" t="s">
        <v>13</v>
      </c>
      <c r="I125" s="309" t="s">
        <v>20</v>
      </c>
      <c r="J125" s="318" t="s">
        <v>318</v>
      </c>
      <c r="K125" s="208">
        <v>530</v>
      </c>
      <c r="L125" s="323">
        <v>70950.5</v>
      </c>
      <c r="M125" s="311">
        <v>0</v>
      </c>
      <c r="N125" s="310">
        <v>0</v>
      </c>
      <c r="O125" s="311">
        <v>0</v>
      </c>
      <c r="P125" s="310">
        <v>0</v>
      </c>
      <c r="Q125" s="323">
        <f t="shared" si="82"/>
        <v>0</v>
      </c>
      <c r="R125" s="310"/>
      <c r="S125" s="312">
        <f t="shared" ref="S125:U125" si="127">R125*1.04</f>
        <v>0</v>
      </c>
      <c r="T125" s="312">
        <f t="shared" si="127"/>
        <v>0</v>
      </c>
      <c r="U125" s="312">
        <f t="shared" si="127"/>
        <v>0</v>
      </c>
    </row>
    <row r="126" spans="1:21" ht="38.25" hidden="1">
      <c r="A126" s="327"/>
      <c r="B126" s="327"/>
      <c r="C126" s="327"/>
      <c r="D126" s="327"/>
      <c r="E126" s="268" t="s">
        <v>107</v>
      </c>
      <c r="F126" s="268" t="s">
        <v>103</v>
      </c>
      <c r="G126" s="308">
        <v>843</v>
      </c>
      <c r="H126" s="318" t="s">
        <v>32</v>
      </c>
      <c r="I126" s="309" t="s">
        <v>20</v>
      </c>
      <c r="J126" s="318" t="s">
        <v>319</v>
      </c>
      <c r="K126" s="208" t="s">
        <v>312</v>
      </c>
      <c r="L126" s="323">
        <f>L127+L128</f>
        <v>388187.82999999996</v>
      </c>
      <c r="M126" s="323">
        <f>M127+M128+M129</f>
        <v>0</v>
      </c>
      <c r="N126" s="323">
        <f>N127+N128+N129</f>
        <v>0</v>
      </c>
      <c r="O126" s="323">
        <f>O127+O128+O129</f>
        <v>0</v>
      </c>
      <c r="P126" s="323">
        <f>P127+P128+P129</f>
        <v>0</v>
      </c>
      <c r="Q126" s="323">
        <f t="shared" si="82"/>
        <v>0</v>
      </c>
      <c r="R126" s="310"/>
      <c r="S126" s="312">
        <f t="shared" ref="S126:U126" si="128">R126*1.04</f>
        <v>0</v>
      </c>
      <c r="T126" s="312">
        <f t="shared" si="128"/>
        <v>0</v>
      </c>
      <c r="U126" s="312">
        <f t="shared" si="128"/>
        <v>0</v>
      </c>
    </row>
    <row r="127" spans="1:21" ht="38.25" hidden="1">
      <c r="A127" s="327"/>
      <c r="B127" s="327"/>
      <c r="C127" s="327"/>
      <c r="D127" s="327"/>
      <c r="E127" s="268" t="s">
        <v>320</v>
      </c>
      <c r="F127" s="268" t="s">
        <v>103</v>
      </c>
      <c r="G127" s="308">
        <v>843</v>
      </c>
      <c r="H127" s="318" t="s">
        <v>32</v>
      </c>
      <c r="I127" s="309" t="s">
        <v>20</v>
      </c>
      <c r="J127" s="318" t="s">
        <v>321</v>
      </c>
      <c r="K127" s="208">
        <v>530</v>
      </c>
      <c r="L127" s="323">
        <v>87552.67</v>
      </c>
      <c r="M127" s="311">
        <v>0</v>
      </c>
      <c r="N127" s="310">
        <v>0</v>
      </c>
      <c r="O127" s="311">
        <f t="shared" ref="O127:P130" si="129">N127*1.05</f>
        <v>0</v>
      </c>
      <c r="P127" s="310">
        <f t="shared" si="129"/>
        <v>0</v>
      </c>
      <c r="Q127" s="323">
        <f t="shared" si="82"/>
        <v>0</v>
      </c>
      <c r="R127" s="310"/>
      <c r="S127" s="312">
        <f t="shared" ref="S127:U127" si="130">R127*1.04</f>
        <v>0</v>
      </c>
      <c r="T127" s="312">
        <f t="shared" si="130"/>
        <v>0</v>
      </c>
      <c r="U127" s="312">
        <f t="shared" si="130"/>
        <v>0</v>
      </c>
    </row>
    <row r="128" spans="1:21" ht="38.25" hidden="1">
      <c r="A128" s="327"/>
      <c r="B128" s="327"/>
      <c r="C128" s="327"/>
      <c r="D128" s="327"/>
      <c r="E128" s="272" t="s">
        <v>108</v>
      </c>
      <c r="F128" s="268" t="s">
        <v>103</v>
      </c>
      <c r="G128" s="308">
        <v>843</v>
      </c>
      <c r="H128" s="318" t="s">
        <v>32</v>
      </c>
      <c r="I128" s="309" t="s">
        <v>20</v>
      </c>
      <c r="J128" s="318" t="s">
        <v>322</v>
      </c>
      <c r="K128" s="208">
        <v>530</v>
      </c>
      <c r="L128" s="323">
        <v>300635.15999999997</v>
      </c>
      <c r="M128" s="311">
        <v>0</v>
      </c>
      <c r="N128" s="310">
        <v>0</v>
      </c>
      <c r="O128" s="311">
        <f t="shared" si="129"/>
        <v>0</v>
      </c>
      <c r="P128" s="310">
        <f t="shared" si="129"/>
        <v>0</v>
      </c>
      <c r="Q128" s="323">
        <f t="shared" si="82"/>
        <v>0</v>
      </c>
      <c r="R128" s="310"/>
      <c r="S128" s="312">
        <f t="shared" ref="S128:U128" si="131">R128*1.04</f>
        <v>0</v>
      </c>
      <c r="T128" s="312">
        <f t="shared" si="131"/>
        <v>0</v>
      </c>
      <c r="U128" s="312">
        <f t="shared" si="131"/>
        <v>0</v>
      </c>
    </row>
    <row r="129" spans="1:21" ht="38.25" hidden="1">
      <c r="A129" s="327"/>
      <c r="B129" s="327"/>
      <c r="C129" s="327"/>
      <c r="D129" s="327"/>
      <c r="E129" s="268" t="s">
        <v>109</v>
      </c>
      <c r="F129" s="268" t="s">
        <v>103</v>
      </c>
      <c r="G129" s="308">
        <v>843</v>
      </c>
      <c r="H129" s="318" t="s">
        <v>32</v>
      </c>
      <c r="I129" s="309" t="s">
        <v>20</v>
      </c>
      <c r="J129" s="318" t="s">
        <v>323</v>
      </c>
      <c r="K129" s="208">
        <v>313</v>
      </c>
      <c r="L129" s="323">
        <v>480</v>
      </c>
      <c r="M129" s="311">
        <v>0</v>
      </c>
      <c r="N129" s="310">
        <v>0</v>
      </c>
      <c r="O129" s="311">
        <f t="shared" si="129"/>
        <v>0</v>
      </c>
      <c r="P129" s="310">
        <f t="shared" si="129"/>
        <v>0</v>
      </c>
      <c r="Q129" s="323">
        <f t="shared" si="82"/>
        <v>0</v>
      </c>
      <c r="R129" s="310"/>
      <c r="S129" s="312">
        <f t="shared" ref="S129:U129" si="132">R129*1.04</f>
        <v>0</v>
      </c>
      <c r="T129" s="312">
        <f t="shared" si="132"/>
        <v>0</v>
      </c>
      <c r="U129" s="312">
        <f t="shared" si="132"/>
        <v>0</v>
      </c>
    </row>
    <row r="130" spans="1:21" ht="38.25" hidden="1">
      <c r="A130" s="327"/>
      <c r="B130" s="327"/>
      <c r="C130" s="327"/>
      <c r="D130" s="327"/>
      <c r="E130" s="268" t="s">
        <v>110</v>
      </c>
      <c r="F130" s="268" t="s">
        <v>103</v>
      </c>
      <c r="G130" s="308">
        <v>843</v>
      </c>
      <c r="H130" s="318" t="s">
        <v>13</v>
      </c>
      <c r="I130" s="309" t="s">
        <v>20</v>
      </c>
      <c r="J130" s="318" t="s">
        <v>324</v>
      </c>
      <c r="K130" s="208">
        <v>530</v>
      </c>
      <c r="L130" s="323">
        <v>20155</v>
      </c>
      <c r="M130" s="323">
        <v>0</v>
      </c>
      <c r="N130" s="323">
        <v>0</v>
      </c>
      <c r="O130" s="311">
        <f t="shared" si="129"/>
        <v>0</v>
      </c>
      <c r="P130" s="310">
        <f t="shared" si="129"/>
        <v>0</v>
      </c>
      <c r="Q130" s="323">
        <f t="shared" si="82"/>
        <v>0</v>
      </c>
      <c r="R130" s="310"/>
      <c r="S130" s="312">
        <f t="shared" ref="S130:U130" si="133">R130*1.04</f>
        <v>0</v>
      </c>
      <c r="T130" s="312">
        <f t="shared" si="133"/>
        <v>0</v>
      </c>
      <c r="U130" s="312">
        <f t="shared" si="133"/>
        <v>0</v>
      </c>
    </row>
    <row r="131" spans="1:21" ht="38.25">
      <c r="A131" s="329" t="s">
        <v>10</v>
      </c>
      <c r="B131" s="329" t="s">
        <v>76</v>
      </c>
      <c r="C131" s="329" t="s">
        <v>465</v>
      </c>
      <c r="D131" s="329"/>
      <c r="E131" s="333" t="s">
        <v>467</v>
      </c>
      <c r="F131" s="268" t="s">
        <v>3</v>
      </c>
      <c r="G131" s="308">
        <v>843</v>
      </c>
      <c r="H131" s="318" t="s">
        <v>32</v>
      </c>
      <c r="I131" s="318" t="s">
        <v>469</v>
      </c>
      <c r="J131" s="318" t="s">
        <v>466</v>
      </c>
      <c r="K131" s="208" t="s">
        <v>468</v>
      </c>
      <c r="L131" s="311">
        <v>0</v>
      </c>
      <c r="M131" s="311">
        <v>0</v>
      </c>
      <c r="N131" s="311">
        <v>0</v>
      </c>
      <c r="O131" s="311">
        <v>0</v>
      </c>
      <c r="P131" s="311">
        <v>1914790</v>
      </c>
      <c r="Q131" s="323">
        <v>1679536.2</v>
      </c>
      <c r="R131" s="323">
        <v>1700431.2</v>
      </c>
      <c r="S131" s="312">
        <f t="shared" ref="S131:U131" si="134">R131*1.04</f>
        <v>1768448.4480000001</v>
      </c>
      <c r="T131" s="312">
        <f t="shared" si="134"/>
        <v>1839186.3859200003</v>
      </c>
      <c r="U131" s="312">
        <f t="shared" si="134"/>
        <v>1912753.8413568004</v>
      </c>
    </row>
    <row r="132" spans="1:21" ht="25.5">
      <c r="A132" s="329" t="s">
        <v>10</v>
      </c>
      <c r="B132" s="329" t="s">
        <v>76</v>
      </c>
      <c r="C132" s="329" t="s">
        <v>470</v>
      </c>
      <c r="D132" s="329"/>
      <c r="E132" s="268" t="s">
        <v>471</v>
      </c>
      <c r="F132" s="268" t="s">
        <v>92</v>
      </c>
      <c r="G132" s="308">
        <v>843</v>
      </c>
      <c r="H132" s="318" t="s">
        <v>32</v>
      </c>
      <c r="I132" s="318" t="s">
        <v>473</v>
      </c>
      <c r="J132" s="318" t="s">
        <v>472</v>
      </c>
      <c r="K132" s="208" t="s">
        <v>474</v>
      </c>
      <c r="L132" s="311">
        <v>0</v>
      </c>
      <c r="M132" s="311">
        <v>0</v>
      </c>
      <c r="N132" s="311">
        <v>0</v>
      </c>
      <c r="O132" s="311">
        <v>0</v>
      </c>
      <c r="P132" s="311">
        <v>1872.1</v>
      </c>
      <c r="Q132" s="323">
        <v>47766.1</v>
      </c>
      <c r="R132" s="323">
        <v>12808.2</v>
      </c>
      <c r="S132" s="312">
        <f t="shared" ref="S132:U132" si="135">R132*1.04</f>
        <v>13320.528000000002</v>
      </c>
      <c r="T132" s="312">
        <f t="shared" si="135"/>
        <v>13853.349120000003</v>
      </c>
      <c r="U132" s="312">
        <f t="shared" si="135"/>
        <v>14407.483084800004</v>
      </c>
    </row>
    <row r="133" spans="1:21" ht="15">
      <c r="A133" s="458">
        <v>30</v>
      </c>
      <c r="B133" s="458">
        <v>3</v>
      </c>
      <c r="C133" s="458"/>
      <c r="D133" s="458"/>
      <c r="E133" s="442" t="s">
        <v>112</v>
      </c>
      <c r="F133" s="268" t="s">
        <v>190</v>
      </c>
      <c r="G133" s="308"/>
      <c r="H133" s="308"/>
      <c r="I133" s="309"/>
      <c r="J133" s="309"/>
      <c r="K133" s="308"/>
      <c r="L133" s="310">
        <f>L134+L135+L139+L136+L137+L138</f>
        <v>1608778.0199999996</v>
      </c>
      <c r="M133" s="310">
        <f>M134+M135+M139+M136+M137+M138+M140</f>
        <v>1759183.6500000001</v>
      </c>
      <c r="N133" s="310">
        <f>N134</f>
        <v>2144201.5846299999</v>
      </c>
      <c r="O133" s="311">
        <f>O134</f>
        <v>2489842.6</v>
      </c>
      <c r="P133" s="310">
        <f>P134</f>
        <v>2212576.5</v>
      </c>
      <c r="Q133" s="310">
        <f>Q134</f>
        <v>2115367.8000000003</v>
      </c>
      <c r="R133" s="310">
        <f>R134</f>
        <v>2115367.8000000003</v>
      </c>
      <c r="S133" s="312">
        <f t="shared" ref="S133:U133" si="136">R133*1.04</f>
        <v>2199982.5120000006</v>
      </c>
      <c r="T133" s="312">
        <f t="shared" si="136"/>
        <v>2287981.8124800008</v>
      </c>
      <c r="U133" s="312">
        <f t="shared" si="136"/>
        <v>2379501.0849792007</v>
      </c>
    </row>
    <row r="134" spans="1:21" ht="15">
      <c r="A134" s="459"/>
      <c r="B134" s="459"/>
      <c r="C134" s="459"/>
      <c r="D134" s="459"/>
      <c r="E134" s="452"/>
      <c r="F134" s="268" t="s">
        <v>3</v>
      </c>
      <c r="G134" s="308">
        <v>843</v>
      </c>
      <c r="H134" s="308"/>
      <c r="I134" s="309"/>
      <c r="J134" s="309"/>
      <c r="K134" s="308"/>
      <c r="L134" s="310">
        <f>L141+L143+L148+L151+L154+L157+L158+L172+L174+L175+L177+L179+L182+L192+L193+L194+L195+L197+L198+L145</f>
        <v>1578395.8199999998</v>
      </c>
      <c r="M134" s="310">
        <f>M141+M143+M148+M151+M154+M157+M158+M172+M174+M175+M177+M179+M182+M192+M193+M194+M195+M197+M198+M145+0.3</f>
        <v>1720080.9000000001</v>
      </c>
      <c r="N134" s="310">
        <f>N141+N143+N145+N147+N148+N151+N154+N172+N174+N177</f>
        <v>2144201.5846299999</v>
      </c>
      <c r="O134" s="311">
        <f>O141+O143+O145+O147+O148+O151+O154+O172+O174+O177</f>
        <v>2489842.6</v>
      </c>
      <c r="P134" s="310">
        <f>P141+P143+P145+P147+P148+P151+P154+P172+P174+P177+P230</f>
        <v>2212576.5</v>
      </c>
      <c r="Q134" s="310">
        <f t="shared" ref="Q134:R134" si="137">Q141+Q143+Q145+Q147+Q148+Q151+Q154+Q172+Q174+Q177+Q230</f>
        <v>2115367.8000000003</v>
      </c>
      <c r="R134" s="310">
        <f t="shared" si="137"/>
        <v>2115367.8000000003</v>
      </c>
      <c r="S134" s="312">
        <f t="shared" ref="S134:U134" si="138">R134*1.04</f>
        <v>2199982.5120000006</v>
      </c>
      <c r="T134" s="312">
        <f t="shared" si="138"/>
        <v>2287981.8124800008</v>
      </c>
      <c r="U134" s="312">
        <f t="shared" si="138"/>
        <v>2379501.0849792007</v>
      </c>
    </row>
    <row r="135" spans="1:21" ht="38.25">
      <c r="A135" s="459"/>
      <c r="B135" s="459"/>
      <c r="C135" s="459"/>
      <c r="D135" s="459"/>
      <c r="E135" s="452"/>
      <c r="F135" s="268" t="s">
        <v>93</v>
      </c>
      <c r="G135" s="308">
        <v>835</v>
      </c>
      <c r="H135" s="308"/>
      <c r="I135" s="309"/>
      <c r="J135" s="309"/>
      <c r="K135" s="308"/>
      <c r="L135" s="310">
        <f>L214+L215</f>
        <v>6624.7000000000007</v>
      </c>
      <c r="M135" s="310">
        <f>M214+M159+M160</f>
        <v>1417.71</v>
      </c>
      <c r="N135" s="310">
        <f>N214</f>
        <v>0</v>
      </c>
      <c r="O135" s="311">
        <f>O214</f>
        <v>0</v>
      </c>
      <c r="P135" s="310">
        <f>P214</f>
        <v>0</v>
      </c>
      <c r="Q135" s="310">
        <f>P135*1.05</f>
        <v>0</v>
      </c>
      <c r="R135" s="310">
        <f t="shared" ref="R135:R155" si="139">Q135*1.04</f>
        <v>0</v>
      </c>
      <c r="S135" s="312">
        <f t="shared" ref="S135:U135" si="140">R135*1.04</f>
        <v>0</v>
      </c>
      <c r="T135" s="312">
        <f t="shared" si="140"/>
        <v>0</v>
      </c>
      <c r="U135" s="312">
        <f t="shared" si="140"/>
        <v>0</v>
      </c>
    </row>
    <row r="136" spans="1:21" ht="51">
      <c r="A136" s="459"/>
      <c r="B136" s="459"/>
      <c r="C136" s="459"/>
      <c r="D136" s="459"/>
      <c r="E136" s="452"/>
      <c r="F136" s="314" t="s">
        <v>192</v>
      </c>
      <c r="G136" s="308">
        <v>847</v>
      </c>
      <c r="H136" s="308"/>
      <c r="I136" s="309"/>
      <c r="J136" s="309"/>
      <c r="K136" s="308"/>
      <c r="L136" s="310">
        <f>L218+L219</f>
        <v>6622.2</v>
      </c>
      <c r="M136" s="310">
        <f>M163+M164</f>
        <v>5737.7099999999991</v>
      </c>
      <c r="N136" s="310">
        <v>0</v>
      </c>
      <c r="O136" s="311">
        <v>0</v>
      </c>
      <c r="P136" s="310">
        <v>0</v>
      </c>
      <c r="Q136" s="310">
        <f>P136*1.05</f>
        <v>0</v>
      </c>
      <c r="R136" s="310">
        <f t="shared" si="139"/>
        <v>0</v>
      </c>
      <c r="S136" s="312">
        <f t="shared" ref="S136:U136" si="141">R136*1.04</f>
        <v>0</v>
      </c>
      <c r="T136" s="312">
        <f t="shared" si="141"/>
        <v>0</v>
      </c>
      <c r="U136" s="312">
        <f t="shared" si="141"/>
        <v>0</v>
      </c>
    </row>
    <row r="137" spans="1:21" ht="38.25">
      <c r="A137" s="459"/>
      <c r="B137" s="459"/>
      <c r="C137" s="459"/>
      <c r="D137" s="459"/>
      <c r="E137" s="452"/>
      <c r="F137" s="314" t="s">
        <v>325</v>
      </c>
      <c r="G137" s="308">
        <v>855</v>
      </c>
      <c r="H137" s="308"/>
      <c r="I137" s="309"/>
      <c r="J137" s="309"/>
      <c r="K137" s="308"/>
      <c r="L137" s="310">
        <f>L220+L221</f>
        <v>5597.4000000000005</v>
      </c>
      <c r="M137" s="310">
        <f>M165+M166</f>
        <v>4007.7000000000003</v>
      </c>
      <c r="N137" s="310">
        <v>0</v>
      </c>
      <c r="O137" s="311">
        <v>0</v>
      </c>
      <c r="P137" s="310">
        <v>0</v>
      </c>
      <c r="Q137" s="310">
        <f>P137*1.05</f>
        <v>0</v>
      </c>
      <c r="R137" s="310">
        <f t="shared" si="139"/>
        <v>0</v>
      </c>
      <c r="S137" s="312">
        <f t="shared" ref="S137:U137" si="142">R137*1.04</f>
        <v>0</v>
      </c>
      <c r="T137" s="312">
        <f t="shared" si="142"/>
        <v>0</v>
      </c>
      <c r="U137" s="312">
        <f t="shared" si="142"/>
        <v>0</v>
      </c>
    </row>
    <row r="138" spans="1:21" ht="25.5">
      <c r="A138" s="459"/>
      <c r="B138" s="459"/>
      <c r="C138" s="459"/>
      <c r="D138" s="459"/>
      <c r="E138" s="452"/>
      <c r="F138" s="315" t="s">
        <v>193</v>
      </c>
      <c r="G138" s="308">
        <v>857</v>
      </c>
      <c r="H138" s="308"/>
      <c r="I138" s="309"/>
      <c r="J138" s="309"/>
      <c r="K138" s="308"/>
      <c r="L138" s="310">
        <f>L222+L223</f>
        <v>6537.9</v>
      </c>
      <c r="M138" s="310">
        <f>M167+M168</f>
        <v>7640.2200000000012</v>
      </c>
      <c r="N138" s="310">
        <v>0</v>
      </c>
      <c r="O138" s="311">
        <v>0</v>
      </c>
      <c r="P138" s="310">
        <v>0</v>
      </c>
      <c r="Q138" s="310">
        <f>P138*1.05</f>
        <v>0</v>
      </c>
      <c r="R138" s="310">
        <f t="shared" si="139"/>
        <v>0</v>
      </c>
      <c r="S138" s="312">
        <f t="shared" ref="S138:U138" si="143">R138*1.04</f>
        <v>0</v>
      </c>
      <c r="T138" s="312">
        <f t="shared" si="143"/>
        <v>0</v>
      </c>
      <c r="U138" s="312">
        <f t="shared" si="143"/>
        <v>0</v>
      </c>
    </row>
    <row r="139" spans="1:21" ht="29.25" customHeight="1">
      <c r="A139" s="459"/>
      <c r="B139" s="459"/>
      <c r="C139" s="459"/>
      <c r="D139" s="459"/>
      <c r="E139" s="452"/>
      <c r="F139" s="268" t="s">
        <v>191</v>
      </c>
      <c r="G139" s="308">
        <v>874</v>
      </c>
      <c r="H139" s="318"/>
      <c r="I139" s="309"/>
      <c r="J139" s="318"/>
      <c r="K139" s="208"/>
      <c r="L139" s="310">
        <f>L216+L217</f>
        <v>5000</v>
      </c>
      <c r="M139" s="310">
        <f>M161+M162</f>
        <v>12619.8</v>
      </c>
      <c r="N139" s="310">
        <f>N216</f>
        <v>0</v>
      </c>
      <c r="O139" s="311">
        <f>O216</f>
        <v>0</v>
      </c>
      <c r="P139" s="310">
        <f>P216</f>
        <v>0</v>
      </c>
      <c r="Q139" s="310">
        <f>P139*1.05</f>
        <v>0</v>
      </c>
      <c r="R139" s="310">
        <f t="shared" si="139"/>
        <v>0</v>
      </c>
      <c r="S139" s="312">
        <f t="shared" ref="S139:U139" si="144">R139*1.04</f>
        <v>0</v>
      </c>
      <c r="T139" s="312">
        <f t="shared" si="144"/>
        <v>0</v>
      </c>
      <c r="U139" s="312">
        <f t="shared" si="144"/>
        <v>0</v>
      </c>
    </row>
    <row r="140" spans="1:21" ht="45" customHeight="1">
      <c r="A140" s="460"/>
      <c r="B140" s="460"/>
      <c r="C140" s="460"/>
      <c r="D140" s="460"/>
      <c r="E140" s="443"/>
      <c r="F140" s="268" t="s">
        <v>194</v>
      </c>
      <c r="G140" s="308">
        <v>845</v>
      </c>
      <c r="H140" s="318"/>
      <c r="I140" s="309"/>
      <c r="J140" s="318"/>
      <c r="K140" s="208"/>
      <c r="L140" s="310">
        <v>0</v>
      </c>
      <c r="M140" s="310">
        <f>M170+M171+0.1</f>
        <v>7679.6100000000006</v>
      </c>
      <c r="N140" s="310">
        <v>0</v>
      </c>
      <c r="O140" s="311">
        <v>0</v>
      </c>
      <c r="P140" s="310">
        <v>0</v>
      </c>
      <c r="Q140" s="310">
        <v>0</v>
      </c>
      <c r="R140" s="310">
        <f t="shared" si="139"/>
        <v>0</v>
      </c>
      <c r="S140" s="312">
        <f t="shared" ref="S140:U140" si="145">R140*1.04</f>
        <v>0</v>
      </c>
      <c r="T140" s="312">
        <f t="shared" si="145"/>
        <v>0</v>
      </c>
      <c r="U140" s="312">
        <f t="shared" si="145"/>
        <v>0</v>
      </c>
    </row>
    <row r="141" spans="1:21" ht="58.5" customHeight="1">
      <c r="A141" s="309" t="s">
        <v>10</v>
      </c>
      <c r="B141" s="309" t="s">
        <v>111</v>
      </c>
      <c r="C141" s="309" t="s">
        <v>13</v>
      </c>
      <c r="D141" s="331"/>
      <c r="E141" s="324" t="s">
        <v>113</v>
      </c>
      <c r="F141" s="268" t="s">
        <v>3</v>
      </c>
      <c r="G141" s="308">
        <v>843</v>
      </c>
      <c r="H141" s="318" t="s">
        <v>32</v>
      </c>
      <c r="I141" s="309" t="s">
        <v>16</v>
      </c>
      <c r="J141" s="318" t="s">
        <v>326</v>
      </c>
      <c r="K141" s="208">
        <v>611</v>
      </c>
      <c r="L141" s="310">
        <f>L142</f>
        <v>0</v>
      </c>
      <c r="M141" s="310">
        <f>M142</f>
        <v>593771</v>
      </c>
      <c r="N141" s="310">
        <v>647601.6</v>
      </c>
      <c r="O141" s="326">
        <v>897725.6</v>
      </c>
      <c r="P141" s="310">
        <f>711656.5+24529</f>
        <v>736185.5</v>
      </c>
      <c r="Q141" s="323">
        <v>711656.5</v>
      </c>
      <c r="R141" s="310">
        <v>711656.5</v>
      </c>
      <c r="S141" s="312">
        <f t="shared" ref="S141:U141" si="146">R141*1.04</f>
        <v>740122.76</v>
      </c>
      <c r="T141" s="312">
        <f t="shared" si="146"/>
        <v>769727.67040000006</v>
      </c>
      <c r="U141" s="312">
        <f t="shared" si="146"/>
        <v>800516.77721600013</v>
      </c>
    </row>
    <row r="142" spans="1:21" ht="51" hidden="1">
      <c r="A142" s="309" t="s">
        <v>10</v>
      </c>
      <c r="B142" s="309" t="s">
        <v>18</v>
      </c>
      <c r="C142" s="309" t="s">
        <v>13</v>
      </c>
      <c r="D142" s="309" t="s">
        <v>13</v>
      </c>
      <c r="E142" s="324" t="s">
        <v>114</v>
      </c>
      <c r="F142" s="268" t="s">
        <v>103</v>
      </c>
      <c r="G142" s="308">
        <v>843</v>
      </c>
      <c r="H142" s="318" t="s">
        <v>32</v>
      </c>
      <c r="I142" s="309" t="s">
        <v>16</v>
      </c>
      <c r="J142" s="318" t="s">
        <v>327</v>
      </c>
      <c r="K142" s="208">
        <v>611</v>
      </c>
      <c r="L142" s="310">
        <v>0</v>
      </c>
      <c r="M142" s="310">
        <f>519111.4+3000+71659.6</f>
        <v>593771</v>
      </c>
      <c r="N142" s="310">
        <v>0</v>
      </c>
      <c r="O142" s="311">
        <v>0</v>
      </c>
      <c r="P142" s="310">
        <v>0</v>
      </c>
      <c r="Q142" s="323">
        <f t="shared" ref="Q142:Q176" si="147">P142*1.05</f>
        <v>0</v>
      </c>
      <c r="R142" s="310">
        <f t="shared" si="139"/>
        <v>0</v>
      </c>
      <c r="S142" s="312">
        <f t="shared" ref="S142:U142" si="148">R142*1.04</f>
        <v>0</v>
      </c>
      <c r="T142" s="312">
        <f t="shared" si="148"/>
        <v>0</v>
      </c>
      <c r="U142" s="312">
        <f t="shared" si="148"/>
        <v>0</v>
      </c>
    </row>
    <row r="143" spans="1:21" ht="51">
      <c r="A143" s="309" t="s">
        <v>10</v>
      </c>
      <c r="B143" s="309" t="s">
        <v>111</v>
      </c>
      <c r="C143" s="309" t="s">
        <v>16</v>
      </c>
      <c r="D143" s="309"/>
      <c r="E143" s="324" t="s">
        <v>456</v>
      </c>
      <c r="F143" s="268" t="s">
        <v>3</v>
      </c>
      <c r="G143" s="308">
        <v>843</v>
      </c>
      <c r="H143" s="318" t="s">
        <v>32</v>
      </c>
      <c r="I143" s="309" t="s">
        <v>16</v>
      </c>
      <c r="J143" s="318" t="s">
        <v>328</v>
      </c>
      <c r="K143" s="208">
        <v>611</v>
      </c>
      <c r="L143" s="310">
        <f>L144</f>
        <v>0</v>
      </c>
      <c r="M143" s="310">
        <f>M144</f>
        <v>44711.1</v>
      </c>
      <c r="N143" s="310">
        <v>46294.400000000001</v>
      </c>
      <c r="O143" s="326">
        <v>53270</v>
      </c>
      <c r="P143" s="310">
        <v>31950.3</v>
      </c>
      <c r="Q143" s="323">
        <v>31950.3</v>
      </c>
      <c r="R143" s="310">
        <v>31950.3</v>
      </c>
      <c r="S143" s="312">
        <f t="shared" ref="S143:U143" si="149">R143*1.04</f>
        <v>33228.311999999998</v>
      </c>
      <c r="T143" s="312">
        <f t="shared" si="149"/>
        <v>34557.444479999998</v>
      </c>
      <c r="U143" s="312">
        <f t="shared" si="149"/>
        <v>35939.7422592</v>
      </c>
    </row>
    <row r="144" spans="1:21" ht="51" hidden="1">
      <c r="A144" s="309" t="s">
        <v>10</v>
      </c>
      <c r="B144" s="309" t="s">
        <v>18</v>
      </c>
      <c r="C144" s="309" t="s">
        <v>16</v>
      </c>
      <c r="D144" s="309" t="s">
        <v>13</v>
      </c>
      <c r="E144" s="324" t="s">
        <v>114</v>
      </c>
      <c r="F144" s="268" t="s">
        <v>3</v>
      </c>
      <c r="G144" s="308">
        <v>843</v>
      </c>
      <c r="H144" s="318" t="s">
        <v>32</v>
      </c>
      <c r="I144" s="309" t="s">
        <v>16</v>
      </c>
      <c r="J144" s="318" t="s">
        <v>329</v>
      </c>
      <c r="K144" s="208">
        <v>611</v>
      </c>
      <c r="L144" s="310">
        <v>0</v>
      </c>
      <c r="M144" s="310">
        <f>42655.4+2055.7</f>
        <v>44711.1</v>
      </c>
      <c r="N144" s="310">
        <v>0</v>
      </c>
      <c r="O144" s="311">
        <v>0</v>
      </c>
      <c r="P144" s="310">
        <v>0</v>
      </c>
      <c r="Q144" s="323">
        <f t="shared" si="147"/>
        <v>0</v>
      </c>
      <c r="R144" s="310">
        <f t="shared" si="139"/>
        <v>0</v>
      </c>
      <c r="S144" s="312">
        <f t="shared" ref="S144:U144" si="150">R144*1.04</f>
        <v>0</v>
      </c>
      <c r="T144" s="312">
        <f t="shared" si="150"/>
        <v>0</v>
      </c>
      <c r="U144" s="312">
        <f t="shared" si="150"/>
        <v>0</v>
      </c>
    </row>
    <row r="145" spans="1:21" ht="82.5" customHeight="1">
      <c r="A145" s="309" t="s">
        <v>10</v>
      </c>
      <c r="B145" s="309" t="s">
        <v>111</v>
      </c>
      <c r="C145" s="309" t="s">
        <v>18</v>
      </c>
      <c r="D145" s="309"/>
      <c r="E145" s="324" t="s">
        <v>115</v>
      </c>
      <c r="F145" s="268" t="s">
        <v>3</v>
      </c>
      <c r="G145" s="308">
        <v>843</v>
      </c>
      <c r="H145" s="318" t="s">
        <v>32</v>
      </c>
      <c r="I145" s="309" t="s">
        <v>16</v>
      </c>
      <c r="J145" s="318" t="s">
        <v>330</v>
      </c>
      <c r="K145" s="208" t="s">
        <v>331</v>
      </c>
      <c r="L145" s="310">
        <f>L146</f>
        <v>0</v>
      </c>
      <c r="M145" s="310">
        <v>957390.2</v>
      </c>
      <c r="N145" s="310">
        <v>1177469.25223</v>
      </c>
      <c r="O145" s="326">
        <v>1496753.2</v>
      </c>
      <c r="P145" s="310">
        <f>1362181.8+29919.9</f>
        <v>1392101.7</v>
      </c>
      <c r="Q145" s="323">
        <v>1362181.8</v>
      </c>
      <c r="R145" s="310">
        <v>1362181.8</v>
      </c>
      <c r="S145" s="312">
        <f t="shared" ref="S145:U145" si="151">R145*1.04</f>
        <v>1416669.0720000002</v>
      </c>
      <c r="T145" s="312">
        <f t="shared" si="151"/>
        <v>1473335.8348800002</v>
      </c>
      <c r="U145" s="312">
        <f t="shared" si="151"/>
        <v>1532269.2682752004</v>
      </c>
    </row>
    <row r="146" spans="1:21" ht="51" hidden="1">
      <c r="A146" s="309" t="s">
        <v>10</v>
      </c>
      <c r="B146" s="309" t="s">
        <v>18</v>
      </c>
      <c r="C146" s="309" t="s">
        <v>18</v>
      </c>
      <c r="D146" s="309" t="s">
        <v>13</v>
      </c>
      <c r="E146" s="324" t="s">
        <v>114</v>
      </c>
      <c r="F146" s="268" t="s">
        <v>103</v>
      </c>
      <c r="G146" s="308">
        <v>843</v>
      </c>
      <c r="H146" s="318" t="s">
        <v>32</v>
      </c>
      <c r="I146" s="309" t="s">
        <v>16</v>
      </c>
      <c r="J146" s="318" t="s">
        <v>332</v>
      </c>
      <c r="K146" s="208">
        <v>611</v>
      </c>
      <c r="L146" s="310">
        <v>0</v>
      </c>
      <c r="M146" s="310">
        <f>866319.9+2623.8+9686.4+5875.5+75736.9+4305.3</f>
        <v>964547.80000000016</v>
      </c>
      <c r="N146" s="310">
        <v>0</v>
      </c>
      <c r="O146" s="311">
        <v>0</v>
      </c>
      <c r="P146" s="310">
        <v>0</v>
      </c>
      <c r="Q146" s="323">
        <f t="shared" si="147"/>
        <v>0</v>
      </c>
      <c r="R146" s="310">
        <f t="shared" si="139"/>
        <v>0</v>
      </c>
      <c r="S146" s="312">
        <f t="shared" ref="S146:U146" si="152">R146*1.04</f>
        <v>0</v>
      </c>
      <c r="T146" s="312">
        <f t="shared" si="152"/>
        <v>0</v>
      </c>
      <c r="U146" s="312">
        <f t="shared" si="152"/>
        <v>0</v>
      </c>
    </row>
    <row r="147" spans="1:21" ht="25.5">
      <c r="A147" s="309" t="s">
        <v>10</v>
      </c>
      <c r="B147" s="309" t="s">
        <v>111</v>
      </c>
      <c r="C147" s="309" t="s">
        <v>20</v>
      </c>
      <c r="D147" s="309"/>
      <c r="E147" s="314" t="s">
        <v>452</v>
      </c>
      <c r="F147" s="268" t="s">
        <v>3</v>
      </c>
      <c r="G147" s="308">
        <v>843</v>
      </c>
      <c r="H147" s="318" t="s">
        <v>32</v>
      </c>
      <c r="I147" s="309" t="s">
        <v>24</v>
      </c>
      <c r="J147" s="318" t="s">
        <v>333</v>
      </c>
      <c r="K147" s="208">
        <v>850</v>
      </c>
      <c r="L147" s="310">
        <f>L148</f>
        <v>0</v>
      </c>
      <c r="M147" s="310">
        <v>957390.2</v>
      </c>
      <c r="N147" s="310"/>
      <c r="O147" s="311">
        <v>0</v>
      </c>
      <c r="P147" s="310">
        <v>0</v>
      </c>
      <c r="Q147" s="310">
        <v>0</v>
      </c>
      <c r="R147" s="310">
        <v>0</v>
      </c>
      <c r="S147" s="312">
        <f t="shared" ref="S147:U147" si="153">R147*1.04</f>
        <v>0</v>
      </c>
      <c r="T147" s="312">
        <f t="shared" si="153"/>
        <v>0</v>
      </c>
      <c r="U147" s="312">
        <f t="shared" si="153"/>
        <v>0</v>
      </c>
    </row>
    <row r="148" spans="1:21" ht="25.5">
      <c r="A148" s="309" t="s">
        <v>10</v>
      </c>
      <c r="B148" s="309" t="s">
        <v>111</v>
      </c>
      <c r="C148" s="309" t="s">
        <v>22</v>
      </c>
      <c r="D148" s="309"/>
      <c r="E148" s="324" t="s">
        <v>117</v>
      </c>
      <c r="F148" s="268" t="s">
        <v>3</v>
      </c>
      <c r="G148" s="308">
        <v>843</v>
      </c>
      <c r="H148" s="318" t="s">
        <v>32</v>
      </c>
      <c r="I148" s="309" t="s">
        <v>16</v>
      </c>
      <c r="J148" s="318" t="s">
        <v>334</v>
      </c>
      <c r="K148" s="208">
        <v>320</v>
      </c>
      <c r="L148" s="310">
        <f>L149+L150</f>
        <v>0</v>
      </c>
      <c r="M148" s="310">
        <v>3578.4</v>
      </c>
      <c r="N148" s="310">
        <v>3194.6709300000002</v>
      </c>
      <c r="O148" s="326">
        <v>2601.1999999999998</v>
      </c>
      <c r="P148" s="310">
        <v>3195</v>
      </c>
      <c r="Q148" s="323">
        <v>3195</v>
      </c>
      <c r="R148" s="310">
        <v>3195</v>
      </c>
      <c r="S148" s="312">
        <f t="shared" ref="S148:U148" si="154">R148*1.04</f>
        <v>3322.8</v>
      </c>
      <c r="T148" s="312">
        <f t="shared" si="154"/>
        <v>3455.7120000000004</v>
      </c>
      <c r="U148" s="312">
        <f t="shared" si="154"/>
        <v>3593.9404800000007</v>
      </c>
    </row>
    <row r="149" spans="1:21" ht="76.5" hidden="1">
      <c r="A149" s="309" t="s">
        <v>10</v>
      </c>
      <c r="B149" s="309" t="s">
        <v>18</v>
      </c>
      <c r="C149" s="309" t="s">
        <v>22</v>
      </c>
      <c r="D149" s="309" t="s">
        <v>13</v>
      </c>
      <c r="E149" s="324" t="s">
        <v>118</v>
      </c>
      <c r="F149" s="268" t="s">
        <v>3</v>
      </c>
      <c r="G149" s="308">
        <v>843</v>
      </c>
      <c r="H149" s="318" t="s">
        <v>32</v>
      </c>
      <c r="I149" s="309" t="s">
        <v>16</v>
      </c>
      <c r="J149" s="318"/>
      <c r="K149" s="208"/>
      <c r="L149" s="310"/>
      <c r="M149" s="310"/>
      <c r="N149" s="310"/>
      <c r="O149" s="311"/>
      <c r="P149" s="310"/>
      <c r="Q149" s="323">
        <f t="shared" si="147"/>
        <v>0</v>
      </c>
      <c r="R149" s="310">
        <f t="shared" si="139"/>
        <v>0</v>
      </c>
      <c r="S149" s="312">
        <f t="shared" ref="S149:U149" si="155">R149*1.04</f>
        <v>0</v>
      </c>
      <c r="T149" s="312">
        <f t="shared" si="155"/>
        <v>0</v>
      </c>
      <c r="U149" s="312">
        <f t="shared" si="155"/>
        <v>0</v>
      </c>
    </row>
    <row r="150" spans="1:21" ht="76.5" hidden="1">
      <c r="A150" s="309" t="s">
        <v>10</v>
      </c>
      <c r="B150" s="309" t="s">
        <v>18</v>
      </c>
      <c r="C150" s="309" t="s">
        <v>22</v>
      </c>
      <c r="D150" s="309" t="s">
        <v>16</v>
      </c>
      <c r="E150" s="332" t="s">
        <v>119</v>
      </c>
      <c r="F150" s="268" t="s">
        <v>3</v>
      </c>
      <c r="G150" s="308">
        <v>843</v>
      </c>
      <c r="H150" s="318" t="s">
        <v>32</v>
      </c>
      <c r="I150" s="309" t="s">
        <v>16</v>
      </c>
      <c r="J150" s="318" t="s">
        <v>335</v>
      </c>
      <c r="K150" s="208">
        <v>320</v>
      </c>
      <c r="L150" s="310">
        <v>0</v>
      </c>
      <c r="M150" s="310">
        <v>4176.8999999999996</v>
      </c>
      <c r="N150" s="310">
        <v>3896.1</v>
      </c>
      <c r="O150" s="311">
        <v>3896.1</v>
      </c>
      <c r="P150" s="310">
        <v>3896.1</v>
      </c>
      <c r="Q150" s="323">
        <f t="shared" si="147"/>
        <v>4090.9050000000002</v>
      </c>
      <c r="R150" s="310">
        <f t="shared" si="139"/>
        <v>4254.5412000000006</v>
      </c>
      <c r="S150" s="312">
        <f t="shared" ref="S150:U150" si="156">R150*1.04</f>
        <v>4424.7228480000003</v>
      </c>
      <c r="T150" s="312">
        <f t="shared" si="156"/>
        <v>4601.7117619200008</v>
      </c>
      <c r="U150" s="312">
        <f t="shared" si="156"/>
        <v>4785.7802323968008</v>
      </c>
    </row>
    <row r="151" spans="1:21" ht="38.25">
      <c r="A151" s="309" t="s">
        <v>10</v>
      </c>
      <c r="B151" s="309" t="s">
        <v>111</v>
      </c>
      <c r="C151" s="309" t="s">
        <v>24</v>
      </c>
      <c r="D151" s="309"/>
      <c r="E151" s="332" t="s">
        <v>120</v>
      </c>
      <c r="F151" s="268" t="s">
        <v>3</v>
      </c>
      <c r="G151" s="308">
        <v>843</v>
      </c>
      <c r="H151" s="318" t="s">
        <v>32</v>
      </c>
      <c r="I151" s="309" t="s">
        <v>16</v>
      </c>
      <c r="J151" s="318" t="s">
        <v>336</v>
      </c>
      <c r="K151" s="208" t="s">
        <v>337</v>
      </c>
      <c r="L151" s="310">
        <f>L152+L153+R178+L199+L229</f>
        <v>3975.5</v>
      </c>
      <c r="M151" s="310">
        <v>23306.2</v>
      </c>
      <c r="N151" s="310">
        <v>233037.47216999999</v>
      </c>
      <c r="O151" s="326">
        <v>9004.2999999999993</v>
      </c>
      <c r="P151" s="310">
        <v>2692.8</v>
      </c>
      <c r="Q151" s="323">
        <v>0</v>
      </c>
      <c r="R151" s="310">
        <v>0</v>
      </c>
      <c r="S151" s="312">
        <f t="shared" ref="S151:U151" si="157">R151*1.04</f>
        <v>0</v>
      </c>
      <c r="T151" s="312">
        <f t="shared" si="157"/>
        <v>0</v>
      </c>
      <c r="U151" s="312">
        <f t="shared" si="157"/>
        <v>0</v>
      </c>
    </row>
    <row r="152" spans="1:21" ht="38.25" hidden="1" customHeight="1">
      <c r="A152" s="309" t="s">
        <v>10</v>
      </c>
      <c r="B152" s="309" t="s">
        <v>18</v>
      </c>
      <c r="C152" s="309" t="s">
        <v>24</v>
      </c>
      <c r="D152" s="309" t="s">
        <v>13</v>
      </c>
      <c r="E152" s="332" t="s">
        <v>121</v>
      </c>
      <c r="F152" s="268" t="s">
        <v>3</v>
      </c>
      <c r="G152" s="308">
        <v>843</v>
      </c>
      <c r="H152" s="318" t="s">
        <v>32</v>
      </c>
      <c r="I152" s="309" t="s">
        <v>16</v>
      </c>
      <c r="J152" s="318" t="s">
        <v>338</v>
      </c>
      <c r="K152" s="208">
        <v>612</v>
      </c>
      <c r="L152" s="310">
        <v>0</v>
      </c>
      <c r="M152" s="310">
        <f>393+5000-98.2+7034.8</f>
        <v>12329.6</v>
      </c>
      <c r="N152" s="310">
        <v>392.6</v>
      </c>
      <c r="O152" s="311">
        <v>392.6</v>
      </c>
      <c r="P152" s="310">
        <v>392.6</v>
      </c>
      <c r="Q152" s="323">
        <f t="shared" si="147"/>
        <v>412.23</v>
      </c>
      <c r="R152" s="310">
        <f t="shared" si="139"/>
        <v>428.71920000000006</v>
      </c>
      <c r="S152" s="312">
        <f t="shared" ref="S152:U152" si="158">R152*1.04</f>
        <v>445.86796800000008</v>
      </c>
      <c r="T152" s="312">
        <f t="shared" si="158"/>
        <v>463.70268672000009</v>
      </c>
      <c r="U152" s="312">
        <f t="shared" si="158"/>
        <v>482.25079418880011</v>
      </c>
    </row>
    <row r="153" spans="1:21" ht="38.25" hidden="1" customHeight="1">
      <c r="A153" s="309" t="s">
        <v>10</v>
      </c>
      <c r="B153" s="309" t="s">
        <v>18</v>
      </c>
      <c r="C153" s="309" t="s">
        <v>24</v>
      </c>
      <c r="D153" s="309" t="s">
        <v>16</v>
      </c>
      <c r="E153" s="332" t="s">
        <v>122</v>
      </c>
      <c r="F153" s="268" t="s">
        <v>3</v>
      </c>
      <c r="G153" s="308">
        <v>843</v>
      </c>
      <c r="H153" s="318" t="s">
        <v>32</v>
      </c>
      <c r="I153" s="309" t="s">
        <v>24</v>
      </c>
      <c r="J153" s="318" t="s">
        <v>339</v>
      </c>
      <c r="K153" s="208" t="s">
        <v>340</v>
      </c>
      <c r="L153" s="310">
        <v>0</v>
      </c>
      <c r="M153" s="310">
        <v>10000</v>
      </c>
      <c r="N153" s="310">
        <v>0</v>
      </c>
      <c r="O153" s="311">
        <v>0</v>
      </c>
      <c r="P153" s="310">
        <v>0</v>
      </c>
      <c r="Q153" s="323">
        <f t="shared" si="147"/>
        <v>0</v>
      </c>
      <c r="R153" s="310">
        <f t="shared" si="139"/>
        <v>0</v>
      </c>
      <c r="S153" s="312">
        <f t="shared" ref="S153:U153" si="159">R153*1.04</f>
        <v>0</v>
      </c>
      <c r="T153" s="312">
        <f t="shared" si="159"/>
        <v>0</v>
      </c>
      <c r="U153" s="312">
        <f t="shared" si="159"/>
        <v>0</v>
      </c>
    </row>
    <row r="154" spans="1:21" ht="37.15" customHeight="1">
      <c r="A154" s="309" t="s">
        <v>10</v>
      </c>
      <c r="B154" s="309" t="s">
        <v>111</v>
      </c>
      <c r="C154" s="309" t="s">
        <v>26</v>
      </c>
      <c r="D154" s="309"/>
      <c r="E154" s="332" t="s">
        <v>123</v>
      </c>
      <c r="F154" s="268" t="s">
        <v>3</v>
      </c>
      <c r="G154" s="308">
        <v>843</v>
      </c>
      <c r="H154" s="318" t="s">
        <v>32</v>
      </c>
      <c r="I154" s="309" t="s">
        <v>18</v>
      </c>
      <c r="J154" s="318" t="s">
        <v>341</v>
      </c>
      <c r="K154" s="208" t="s">
        <v>464</v>
      </c>
      <c r="L154" s="310">
        <f>L155+L202</f>
        <v>45498.6</v>
      </c>
      <c r="M154" s="310">
        <v>19490.599999999999</v>
      </c>
      <c r="N154" s="310">
        <v>10774.311099999999</v>
      </c>
      <c r="O154" s="326">
        <v>7721.7</v>
      </c>
      <c r="P154" s="310">
        <v>2180.1</v>
      </c>
      <c r="Q154" s="323">
        <v>2180.1</v>
      </c>
      <c r="R154" s="310">
        <v>2180.1</v>
      </c>
      <c r="S154" s="312">
        <f t="shared" ref="S154:U154" si="160">R154*1.04</f>
        <v>2267.3040000000001</v>
      </c>
      <c r="T154" s="312">
        <f t="shared" si="160"/>
        <v>2357.9961600000001</v>
      </c>
      <c r="U154" s="312">
        <f t="shared" si="160"/>
        <v>2452.3160064000003</v>
      </c>
    </row>
    <row r="155" spans="1:21" ht="38.25" hidden="1" customHeight="1">
      <c r="A155" s="309" t="s">
        <v>10</v>
      </c>
      <c r="B155" s="309" t="s">
        <v>18</v>
      </c>
      <c r="C155" s="309" t="s">
        <v>26</v>
      </c>
      <c r="D155" s="309" t="s">
        <v>13</v>
      </c>
      <c r="E155" s="332" t="s">
        <v>124</v>
      </c>
      <c r="F155" s="268" t="s">
        <v>103</v>
      </c>
      <c r="G155" s="308">
        <v>843</v>
      </c>
      <c r="H155" s="318" t="s">
        <v>32</v>
      </c>
      <c r="I155" s="309" t="s">
        <v>18</v>
      </c>
      <c r="J155" s="318" t="s">
        <v>342</v>
      </c>
      <c r="K155" s="208" t="s">
        <v>343</v>
      </c>
      <c r="L155" s="310"/>
      <c r="M155" s="310">
        <f>20214-1803.5</f>
        <v>18410.5</v>
      </c>
      <c r="N155" s="310">
        <v>13156.9</v>
      </c>
      <c r="O155" s="311">
        <v>13156.9</v>
      </c>
      <c r="P155" s="310">
        <v>13156.9</v>
      </c>
      <c r="Q155" s="323">
        <f t="shared" si="147"/>
        <v>13814.745000000001</v>
      </c>
      <c r="R155" s="310">
        <f t="shared" si="139"/>
        <v>14367.334800000001</v>
      </c>
      <c r="S155" s="312">
        <f t="shared" ref="S155:U155" si="161">R155*1.04</f>
        <v>14942.028192000002</v>
      </c>
      <c r="T155" s="312">
        <f t="shared" si="161"/>
        <v>15539.709319680001</v>
      </c>
      <c r="U155" s="312">
        <f t="shared" si="161"/>
        <v>16161.297692467202</v>
      </c>
    </row>
    <row r="156" spans="1:21" ht="15">
      <c r="A156" s="446" t="s">
        <v>10</v>
      </c>
      <c r="B156" s="446" t="s">
        <v>111</v>
      </c>
      <c r="C156" s="446" t="s">
        <v>28</v>
      </c>
      <c r="D156" s="446"/>
      <c r="E156" s="453" t="s">
        <v>125</v>
      </c>
      <c r="F156" s="268" t="s">
        <v>190</v>
      </c>
      <c r="G156" s="308"/>
      <c r="H156" s="318"/>
      <c r="I156" s="309"/>
      <c r="J156" s="318"/>
      <c r="K156" s="208"/>
      <c r="L156" s="310">
        <f t="shared" ref="L156:R156" si="162">L157+L158+L159+L160+L161+L162+L163+L164+L165+L166+L167+L168+L170+L171</f>
        <v>61295.020000000011</v>
      </c>
      <c r="M156" s="310">
        <f t="shared" si="162"/>
        <v>73374.850000000006</v>
      </c>
      <c r="N156" s="310">
        <f t="shared" si="162"/>
        <v>0</v>
      </c>
      <c r="O156" s="311">
        <f t="shared" si="162"/>
        <v>0</v>
      </c>
      <c r="P156" s="310">
        <f t="shared" si="162"/>
        <v>0</v>
      </c>
      <c r="Q156" s="310">
        <f t="shared" si="162"/>
        <v>0</v>
      </c>
      <c r="R156" s="310">
        <f t="shared" si="162"/>
        <v>0</v>
      </c>
      <c r="S156" s="312">
        <f t="shared" ref="S156:U156" si="163">R156*1.04</f>
        <v>0</v>
      </c>
      <c r="T156" s="312">
        <f t="shared" si="163"/>
        <v>0</v>
      </c>
      <c r="U156" s="312">
        <f t="shared" si="163"/>
        <v>0</v>
      </c>
    </row>
    <row r="157" spans="1:21" ht="27" customHeight="1">
      <c r="A157" s="451"/>
      <c r="B157" s="451"/>
      <c r="C157" s="451"/>
      <c r="D157" s="451"/>
      <c r="E157" s="454"/>
      <c r="F157" s="442" t="s">
        <v>3</v>
      </c>
      <c r="G157" s="308">
        <v>843</v>
      </c>
      <c r="H157" s="318" t="s">
        <v>32</v>
      </c>
      <c r="I157" s="309" t="s">
        <v>18</v>
      </c>
      <c r="J157" s="318" t="s">
        <v>344</v>
      </c>
      <c r="K157" s="208" t="s">
        <v>345</v>
      </c>
      <c r="L157" s="310">
        <f>L169+L212</f>
        <v>6588.9</v>
      </c>
      <c r="M157" s="310">
        <v>29829.1</v>
      </c>
      <c r="N157" s="310">
        <v>0</v>
      </c>
      <c r="O157" s="311">
        <v>0</v>
      </c>
      <c r="P157" s="310">
        <v>0</v>
      </c>
      <c r="Q157" s="323">
        <f t="shared" si="147"/>
        <v>0</v>
      </c>
      <c r="R157" s="310">
        <f>Q157*1.04</f>
        <v>0</v>
      </c>
      <c r="S157" s="312">
        <f t="shared" ref="S157:U157" si="164">R157*1.04</f>
        <v>0</v>
      </c>
      <c r="T157" s="312">
        <f t="shared" si="164"/>
        <v>0</v>
      </c>
      <c r="U157" s="312">
        <f t="shared" si="164"/>
        <v>0</v>
      </c>
    </row>
    <row r="158" spans="1:21" ht="24" customHeight="1">
      <c r="A158" s="451"/>
      <c r="B158" s="451"/>
      <c r="C158" s="451"/>
      <c r="D158" s="451"/>
      <c r="E158" s="454"/>
      <c r="F158" s="443"/>
      <c r="G158" s="308">
        <v>843</v>
      </c>
      <c r="H158" s="308">
        <v>10</v>
      </c>
      <c r="I158" s="309" t="s">
        <v>18</v>
      </c>
      <c r="J158" s="318" t="s">
        <v>346</v>
      </c>
      <c r="K158" s="208" t="s">
        <v>345</v>
      </c>
      <c r="L158" s="310">
        <v>24323.919999999998</v>
      </c>
      <c r="M158" s="310">
        <v>4443.1000000000004</v>
      </c>
      <c r="N158" s="310">
        <v>0</v>
      </c>
      <c r="O158" s="311">
        <v>0</v>
      </c>
      <c r="P158" s="310">
        <v>0</v>
      </c>
      <c r="Q158" s="323">
        <f t="shared" si="147"/>
        <v>0</v>
      </c>
      <c r="R158" s="310">
        <f t="shared" ref="R158:R176" si="165">Q158*1.04</f>
        <v>0</v>
      </c>
      <c r="S158" s="312">
        <f t="shared" ref="S158:U158" si="166">R158*1.04</f>
        <v>0</v>
      </c>
      <c r="T158" s="312">
        <f t="shared" si="166"/>
        <v>0</v>
      </c>
      <c r="U158" s="312">
        <f t="shared" si="166"/>
        <v>0</v>
      </c>
    </row>
    <row r="159" spans="1:21" ht="25.5" customHeight="1">
      <c r="A159" s="451"/>
      <c r="B159" s="451"/>
      <c r="C159" s="451"/>
      <c r="D159" s="451"/>
      <c r="E159" s="454"/>
      <c r="F159" s="442" t="s">
        <v>93</v>
      </c>
      <c r="G159" s="308">
        <v>835</v>
      </c>
      <c r="H159" s="318" t="s">
        <v>36</v>
      </c>
      <c r="I159" s="309" t="s">
        <v>20</v>
      </c>
      <c r="J159" s="318" t="s">
        <v>344</v>
      </c>
      <c r="K159" s="208">
        <v>810</v>
      </c>
      <c r="L159" s="310">
        <v>1987.4</v>
      </c>
      <c r="M159" s="310">
        <f>500+125.31</f>
        <v>625.30999999999995</v>
      </c>
      <c r="N159" s="310">
        <v>0</v>
      </c>
      <c r="O159" s="311">
        <v>0</v>
      </c>
      <c r="P159" s="310">
        <v>0</v>
      </c>
      <c r="Q159" s="323">
        <f t="shared" si="147"/>
        <v>0</v>
      </c>
      <c r="R159" s="310">
        <f t="shared" si="165"/>
        <v>0</v>
      </c>
      <c r="S159" s="312">
        <f t="shared" ref="S159:U159" si="167">R159*1.04</f>
        <v>0</v>
      </c>
      <c r="T159" s="312">
        <f t="shared" si="167"/>
        <v>0</v>
      </c>
      <c r="U159" s="312">
        <f t="shared" si="167"/>
        <v>0</v>
      </c>
    </row>
    <row r="160" spans="1:21" ht="28.5" customHeight="1">
      <c r="A160" s="451"/>
      <c r="B160" s="451"/>
      <c r="C160" s="451"/>
      <c r="D160" s="451"/>
      <c r="E160" s="454"/>
      <c r="F160" s="443"/>
      <c r="G160" s="308">
        <v>835</v>
      </c>
      <c r="H160" s="318" t="s">
        <v>36</v>
      </c>
      <c r="I160" s="309" t="s">
        <v>20</v>
      </c>
      <c r="J160" s="318" t="s">
        <v>346</v>
      </c>
      <c r="K160" s="208">
        <v>810</v>
      </c>
      <c r="L160" s="310">
        <v>4637.3</v>
      </c>
      <c r="M160" s="310">
        <v>792.4</v>
      </c>
      <c r="N160" s="310">
        <v>0</v>
      </c>
      <c r="O160" s="311">
        <v>0</v>
      </c>
      <c r="P160" s="310">
        <v>0</v>
      </c>
      <c r="Q160" s="323">
        <f t="shared" si="147"/>
        <v>0</v>
      </c>
      <c r="R160" s="310">
        <f t="shared" si="165"/>
        <v>0</v>
      </c>
      <c r="S160" s="312">
        <f t="shared" ref="S160:U160" si="168">R160*1.04</f>
        <v>0</v>
      </c>
      <c r="T160" s="312">
        <f t="shared" si="168"/>
        <v>0</v>
      </c>
      <c r="U160" s="312">
        <f t="shared" si="168"/>
        <v>0</v>
      </c>
    </row>
    <row r="161" spans="1:21" ht="25.5">
      <c r="A161" s="451"/>
      <c r="B161" s="451"/>
      <c r="C161" s="451"/>
      <c r="D161" s="451"/>
      <c r="E161" s="454"/>
      <c r="F161" s="442" t="s">
        <v>191</v>
      </c>
      <c r="G161" s="308">
        <v>874</v>
      </c>
      <c r="H161" s="318" t="s">
        <v>26</v>
      </c>
      <c r="I161" s="309" t="s">
        <v>20</v>
      </c>
      <c r="J161" s="318" t="s">
        <v>344</v>
      </c>
      <c r="K161" s="208" t="s">
        <v>347</v>
      </c>
      <c r="L161" s="310">
        <v>1500</v>
      </c>
      <c r="M161" s="310">
        <v>150</v>
      </c>
      <c r="N161" s="310">
        <v>0</v>
      </c>
      <c r="O161" s="311">
        <v>0</v>
      </c>
      <c r="P161" s="310">
        <v>0</v>
      </c>
      <c r="Q161" s="323">
        <f t="shared" si="147"/>
        <v>0</v>
      </c>
      <c r="R161" s="310">
        <f t="shared" si="165"/>
        <v>0</v>
      </c>
      <c r="S161" s="312">
        <f t="shared" ref="S161:U161" si="169">R161*1.04</f>
        <v>0</v>
      </c>
      <c r="T161" s="312">
        <f t="shared" si="169"/>
        <v>0</v>
      </c>
      <c r="U161" s="312">
        <f t="shared" si="169"/>
        <v>0</v>
      </c>
    </row>
    <row r="162" spans="1:21" ht="25.5">
      <c r="A162" s="451"/>
      <c r="B162" s="451"/>
      <c r="C162" s="451"/>
      <c r="D162" s="451"/>
      <c r="E162" s="454"/>
      <c r="F162" s="443"/>
      <c r="G162" s="308">
        <v>874</v>
      </c>
      <c r="H162" s="318" t="s">
        <v>26</v>
      </c>
      <c r="I162" s="309" t="s">
        <v>20</v>
      </c>
      <c r="J162" s="318" t="s">
        <v>346</v>
      </c>
      <c r="K162" s="208" t="s">
        <v>347</v>
      </c>
      <c r="L162" s="323">
        <v>3500</v>
      </c>
      <c r="M162" s="310">
        <v>12469.8</v>
      </c>
      <c r="N162" s="310">
        <v>0</v>
      </c>
      <c r="O162" s="311">
        <v>0</v>
      </c>
      <c r="P162" s="310">
        <v>0</v>
      </c>
      <c r="Q162" s="323">
        <f t="shared" si="147"/>
        <v>0</v>
      </c>
      <c r="R162" s="310">
        <f t="shared" si="165"/>
        <v>0</v>
      </c>
      <c r="S162" s="312">
        <f t="shared" ref="S162:U162" si="170">R162*1.04</f>
        <v>0</v>
      </c>
      <c r="T162" s="312">
        <f t="shared" si="170"/>
        <v>0</v>
      </c>
      <c r="U162" s="312">
        <f t="shared" si="170"/>
        <v>0</v>
      </c>
    </row>
    <row r="163" spans="1:21" ht="27.75" customHeight="1">
      <c r="A163" s="451"/>
      <c r="B163" s="451"/>
      <c r="C163" s="451"/>
      <c r="D163" s="451"/>
      <c r="E163" s="454"/>
      <c r="F163" s="442" t="s">
        <v>192</v>
      </c>
      <c r="G163" s="308">
        <v>847</v>
      </c>
      <c r="H163" s="308">
        <v>11</v>
      </c>
      <c r="I163" s="309" t="s">
        <v>22</v>
      </c>
      <c r="J163" s="318" t="s">
        <v>344</v>
      </c>
      <c r="K163" s="208" t="s">
        <v>347</v>
      </c>
      <c r="L163" s="323">
        <v>1985.3</v>
      </c>
      <c r="M163" s="310">
        <f>150+3635.31+70+400</f>
        <v>4255.3099999999995</v>
      </c>
      <c r="N163" s="310">
        <v>0</v>
      </c>
      <c r="O163" s="311">
        <v>0</v>
      </c>
      <c r="P163" s="310">
        <v>0</v>
      </c>
      <c r="Q163" s="323">
        <f t="shared" si="147"/>
        <v>0</v>
      </c>
      <c r="R163" s="310">
        <f t="shared" si="165"/>
        <v>0</v>
      </c>
      <c r="S163" s="312">
        <f t="shared" ref="S163:U163" si="171">R163*1.04</f>
        <v>0</v>
      </c>
      <c r="T163" s="312">
        <f t="shared" si="171"/>
        <v>0</v>
      </c>
      <c r="U163" s="312">
        <f t="shared" si="171"/>
        <v>0</v>
      </c>
    </row>
    <row r="164" spans="1:21" ht="27.75" customHeight="1">
      <c r="A164" s="451"/>
      <c r="B164" s="451"/>
      <c r="C164" s="451"/>
      <c r="D164" s="451"/>
      <c r="E164" s="454"/>
      <c r="F164" s="443"/>
      <c r="G164" s="308">
        <v>847</v>
      </c>
      <c r="H164" s="308">
        <v>11</v>
      </c>
      <c r="I164" s="309" t="s">
        <v>22</v>
      </c>
      <c r="J164" s="318" t="s">
        <v>346</v>
      </c>
      <c r="K164" s="208" t="s">
        <v>347</v>
      </c>
      <c r="L164" s="323">
        <v>4636.8999999999996</v>
      </c>
      <c r="M164" s="310">
        <v>1482.4</v>
      </c>
      <c r="N164" s="310">
        <v>0</v>
      </c>
      <c r="O164" s="311">
        <v>0</v>
      </c>
      <c r="P164" s="310">
        <v>0</v>
      </c>
      <c r="Q164" s="323">
        <f t="shared" si="147"/>
        <v>0</v>
      </c>
      <c r="R164" s="310">
        <f t="shared" si="165"/>
        <v>0</v>
      </c>
      <c r="S164" s="312">
        <f t="shared" ref="S164:U164" si="172">R164*1.04</f>
        <v>0</v>
      </c>
      <c r="T164" s="312">
        <f t="shared" si="172"/>
        <v>0</v>
      </c>
      <c r="U164" s="312">
        <f t="shared" si="172"/>
        <v>0</v>
      </c>
    </row>
    <row r="165" spans="1:21" ht="15" customHeight="1">
      <c r="A165" s="451"/>
      <c r="B165" s="451"/>
      <c r="C165" s="451"/>
      <c r="D165" s="451"/>
      <c r="E165" s="454"/>
      <c r="F165" s="442" t="s">
        <v>325</v>
      </c>
      <c r="G165" s="308">
        <v>855</v>
      </c>
      <c r="H165" s="309" t="s">
        <v>30</v>
      </c>
      <c r="I165" s="309" t="s">
        <v>30</v>
      </c>
      <c r="J165" s="318" t="s">
        <v>344</v>
      </c>
      <c r="K165" s="208">
        <v>612</v>
      </c>
      <c r="L165" s="323">
        <v>960.1</v>
      </c>
      <c r="M165" s="310">
        <v>2525.3000000000002</v>
      </c>
      <c r="N165" s="310">
        <v>0</v>
      </c>
      <c r="O165" s="311">
        <v>0</v>
      </c>
      <c r="P165" s="310">
        <v>0</v>
      </c>
      <c r="Q165" s="323">
        <f t="shared" si="147"/>
        <v>0</v>
      </c>
      <c r="R165" s="310">
        <f t="shared" si="165"/>
        <v>0</v>
      </c>
      <c r="S165" s="312">
        <f t="shared" ref="S165:U165" si="173">R165*1.04</f>
        <v>0</v>
      </c>
      <c r="T165" s="312">
        <f t="shared" si="173"/>
        <v>0</v>
      </c>
      <c r="U165" s="312">
        <f t="shared" si="173"/>
        <v>0</v>
      </c>
    </row>
    <row r="166" spans="1:21" ht="25.5">
      <c r="A166" s="451"/>
      <c r="B166" s="451"/>
      <c r="C166" s="451"/>
      <c r="D166" s="451"/>
      <c r="E166" s="454"/>
      <c r="F166" s="443"/>
      <c r="G166" s="308">
        <v>855</v>
      </c>
      <c r="H166" s="309" t="s">
        <v>30</v>
      </c>
      <c r="I166" s="309" t="s">
        <v>30</v>
      </c>
      <c r="J166" s="318" t="s">
        <v>346</v>
      </c>
      <c r="K166" s="208">
        <v>612</v>
      </c>
      <c r="L166" s="323">
        <v>4637.3</v>
      </c>
      <c r="M166" s="310">
        <v>1482.4</v>
      </c>
      <c r="N166" s="310">
        <v>0</v>
      </c>
      <c r="O166" s="311">
        <v>0</v>
      </c>
      <c r="P166" s="310">
        <v>0</v>
      </c>
      <c r="Q166" s="323">
        <f t="shared" si="147"/>
        <v>0</v>
      </c>
      <c r="R166" s="310">
        <f t="shared" si="165"/>
        <v>0</v>
      </c>
      <c r="S166" s="312">
        <f t="shared" ref="S166:U166" si="174">R166*1.04</f>
        <v>0</v>
      </c>
      <c r="T166" s="312">
        <f t="shared" si="174"/>
        <v>0</v>
      </c>
      <c r="U166" s="312">
        <f t="shared" si="174"/>
        <v>0</v>
      </c>
    </row>
    <row r="167" spans="1:21" ht="29.25" customHeight="1">
      <c r="A167" s="451"/>
      <c r="B167" s="451"/>
      <c r="C167" s="451"/>
      <c r="D167" s="451"/>
      <c r="E167" s="454"/>
      <c r="F167" s="442" t="s">
        <v>348</v>
      </c>
      <c r="G167" s="308">
        <v>857</v>
      </c>
      <c r="H167" s="309" t="s">
        <v>28</v>
      </c>
      <c r="I167" s="309" t="s">
        <v>20</v>
      </c>
      <c r="J167" s="318" t="s">
        <v>344</v>
      </c>
      <c r="K167" s="208" t="s">
        <v>347</v>
      </c>
      <c r="L167" s="323">
        <v>1900.6</v>
      </c>
      <c r="M167" s="310">
        <f>86.8+150+3635.31+2000+85.71</f>
        <v>5957.8200000000006</v>
      </c>
      <c r="N167" s="310">
        <v>0</v>
      </c>
      <c r="O167" s="311">
        <v>0</v>
      </c>
      <c r="P167" s="310">
        <v>0</v>
      </c>
      <c r="Q167" s="323">
        <f t="shared" si="147"/>
        <v>0</v>
      </c>
      <c r="R167" s="310">
        <f t="shared" si="165"/>
        <v>0</v>
      </c>
      <c r="S167" s="312">
        <f t="shared" ref="S167:U167" si="175">R167*1.04</f>
        <v>0</v>
      </c>
      <c r="T167" s="312">
        <f t="shared" si="175"/>
        <v>0</v>
      </c>
      <c r="U167" s="312">
        <f t="shared" si="175"/>
        <v>0</v>
      </c>
    </row>
    <row r="168" spans="1:21" ht="25.5">
      <c r="A168" s="451"/>
      <c r="B168" s="451"/>
      <c r="C168" s="451"/>
      <c r="D168" s="451"/>
      <c r="E168" s="454"/>
      <c r="F168" s="443"/>
      <c r="G168" s="308">
        <v>857</v>
      </c>
      <c r="H168" s="309" t="s">
        <v>28</v>
      </c>
      <c r="I168" s="309" t="s">
        <v>20</v>
      </c>
      <c r="J168" s="318" t="s">
        <v>346</v>
      </c>
      <c r="K168" s="208" t="s">
        <v>347</v>
      </c>
      <c r="L168" s="323">
        <v>4637.3</v>
      </c>
      <c r="M168" s="310">
        <v>1682.4</v>
      </c>
      <c r="N168" s="310">
        <v>0</v>
      </c>
      <c r="O168" s="311">
        <v>0</v>
      </c>
      <c r="P168" s="310">
        <v>0</v>
      </c>
      <c r="Q168" s="323">
        <f t="shared" si="147"/>
        <v>0</v>
      </c>
      <c r="R168" s="310">
        <f t="shared" si="165"/>
        <v>0</v>
      </c>
      <c r="S168" s="312">
        <f t="shared" ref="S168:U168" si="176">R168*1.04</f>
        <v>0</v>
      </c>
      <c r="T168" s="312">
        <f t="shared" si="176"/>
        <v>0</v>
      </c>
      <c r="U168" s="312">
        <f t="shared" si="176"/>
        <v>0</v>
      </c>
    </row>
    <row r="169" spans="1:21" ht="63.75" hidden="1" customHeight="1">
      <c r="A169" s="451"/>
      <c r="B169" s="451"/>
      <c r="C169" s="451"/>
      <c r="D169" s="451"/>
      <c r="E169" s="454"/>
      <c r="F169" s="268" t="s">
        <v>103</v>
      </c>
      <c r="G169" s="308">
        <v>843</v>
      </c>
      <c r="H169" s="318" t="s">
        <v>32</v>
      </c>
      <c r="I169" s="309" t="s">
        <v>24</v>
      </c>
      <c r="J169" s="318" t="s">
        <v>349</v>
      </c>
      <c r="K169" s="208" t="s">
        <v>340</v>
      </c>
      <c r="L169" s="310">
        <v>0</v>
      </c>
      <c r="M169" s="310">
        <v>55079.5</v>
      </c>
      <c r="N169" s="310">
        <v>0</v>
      </c>
      <c r="O169" s="311">
        <v>0</v>
      </c>
      <c r="P169" s="310">
        <v>0</v>
      </c>
      <c r="Q169" s="323">
        <f t="shared" si="147"/>
        <v>0</v>
      </c>
      <c r="R169" s="310">
        <f t="shared" si="165"/>
        <v>0</v>
      </c>
      <c r="S169" s="312">
        <f t="shared" ref="S169:U169" si="177">R169*1.04</f>
        <v>0</v>
      </c>
      <c r="T169" s="312">
        <f t="shared" si="177"/>
        <v>0</v>
      </c>
      <c r="U169" s="312">
        <f t="shared" si="177"/>
        <v>0</v>
      </c>
    </row>
    <row r="170" spans="1:21" ht="15" customHeight="1">
      <c r="A170" s="451"/>
      <c r="B170" s="451"/>
      <c r="C170" s="451"/>
      <c r="D170" s="451"/>
      <c r="E170" s="454"/>
      <c r="F170" s="442" t="s">
        <v>194</v>
      </c>
      <c r="G170" s="308">
        <v>845</v>
      </c>
      <c r="H170" s="318" t="s">
        <v>20</v>
      </c>
      <c r="I170" s="309" t="s">
        <v>13</v>
      </c>
      <c r="J170" s="318" t="s">
        <v>344</v>
      </c>
      <c r="K170" s="208">
        <v>240</v>
      </c>
      <c r="L170" s="310">
        <v>0</v>
      </c>
      <c r="M170" s="310">
        <f>150+5058.85</f>
        <v>5208.8500000000004</v>
      </c>
      <c r="N170" s="310">
        <v>0</v>
      </c>
      <c r="O170" s="311">
        <v>0</v>
      </c>
      <c r="P170" s="310">
        <v>0</v>
      </c>
      <c r="Q170" s="323">
        <f t="shared" si="147"/>
        <v>0</v>
      </c>
      <c r="R170" s="310">
        <f t="shared" si="165"/>
        <v>0</v>
      </c>
      <c r="S170" s="312">
        <f t="shared" ref="S170:U170" si="178">R170*1.04</f>
        <v>0</v>
      </c>
      <c r="T170" s="312">
        <f t="shared" si="178"/>
        <v>0</v>
      </c>
      <c r="U170" s="312">
        <f t="shared" si="178"/>
        <v>0</v>
      </c>
    </row>
    <row r="171" spans="1:21" ht="25.5">
      <c r="A171" s="447"/>
      <c r="B171" s="447"/>
      <c r="C171" s="447"/>
      <c r="D171" s="447"/>
      <c r="E171" s="455"/>
      <c r="F171" s="443"/>
      <c r="G171" s="308">
        <v>845</v>
      </c>
      <c r="H171" s="318" t="s">
        <v>20</v>
      </c>
      <c r="I171" s="309" t="s">
        <v>13</v>
      </c>
      <c r="J171" s="318" t="s">
        <v>350</v>
      </c>
      <c r="K171" s="208">
        <v>240</v>
      </c>
      <c r="L171" s="310">
        <v>0</v>
      </c>
      <c r="M171" s="310">
        <v>2470.66</v>
      </c>
      <c r="N171" s="310">
        <v>0</v>
      </c>
      <c r="O171" s="311">
        <v>0</v>
      </c>
      <c r="P171" s="310">
        <v>0</v>
      </c>
      <c r="Q171" s="323">
        <f t="shared" si="147"/>
        <v>0</v>
      </c>
      <c r="R171" s="310">
        <f t="shared" si="165"/>
        <v>0</v>
      </c>
      <c r="S171" s="312">
        <f t="shared" ref="S171:U171" si="179">R171*1.04</f>
        <v>0</v>
      </c>
      <c r="T171" s="312">
        <f t="shared" si="179"/>
        <v>0</v>
      </c>
      <c r="U171" s="312">
        <f t="shared" si="179"/>
        <v>0</v>
      </c>
    </row>
    <row r="172" spans="1:21" ht="51">
      <c r="A172" s="309" t="s">
        <v>10</v>
      </c>
      <c r="B172" s="309" t="s">
        <v>111</v>
      </c>
      <c r="C172" s="309" t="s">
        <v>30</v>
      </c>
      <c r="D172" s="309"/>
      <c r="E172" s="332" t="s">
        <v>453</v>
      </c>
      <c r="F172" s="442" t="s">
        <v>3</v>
      </c>
      <c r="G172" s="308">
        <v>843</v>
      </c>
      <c r="H172" s="318" t="s">
        <v>32</v>
      </c>
      <c r="I172" s="309" t="s">
        <v>24</v>
      </c>
      <c r="J172" s="318" t="s">
        <v>351</v>
      </c>
      <c r="K172" s="208" t="s">
        <v>462</v>
      </c>
      <c r="L172" s="310">
        <f>L173+L224</f>
        <v>9153.2999999999993</v>
      </c>
      <c r="M172" s="310">
        <v>12348.3</v>
      </c>
      <c r="N172" s="310">
        <v>16968.897659999999</v>
      </c>
      <c r="O172" s="326">
        <v>15865.1</v>
      </c>
      <c r="P172" s="310">
        <v>2945.4</v>
      </c>
      <c r="Q172" s="323">
        <v>2945.4</v>
      </c>
      <c r="R172" s="310">
        <v>2945.4</v>
      </c>
      <c r="S172" s="312">
        <f t="shared" ref="S172:U172" si="180">R172*1.04</f>
        <v>3063.2160000000003</v>
      </c>
      <c r="T172" s="312">
        <f t="shared" si="180"/>
        <v>3185.7446400000003</v>
      </c>
      <c r="U172" s="312">
        <f t="shared" si="180"/>
        <v>3313.1744256000006</v>
      </c>
    </row>
    <row r="173" spans="1:21" ht="51" hidden="1" customHeight="1">
      <c r="A173" s="309" t="s">
        <v>10</v>
      </c>
      <c r="B173" s="309" t="s">
        <v>18</v>
      </c>
      <c r="C173" s="309" t="s">
        <v>30</v>
      </c>
      <c r="D173" s="309" t="s">
        <v>13</v>
      </c>
      <c r="E173" s="332" t="s">
        <v>127</v>
      </c>
      <c r="F173" s="443"/>
      <c r="G173" s="308">
        <v>843</v>
      </c>
      <c r="H173" s="318" t="s">
        <v>32</v>
      </c>
      <c r="I173" s="309" t="s">
        <v>24</v>
      </c>
      <c r="J173" s="318" t="s">
        <v>352</v>
      </c>
      <c r="K173" s="208">
        <v>612</v>
      </c>
      <c r="L173" s="310">
        <v>0</v>
      </c>
      <c r="M173" s="310">
        <f>17075.1-4268.8</f>
        <v>12806.3</v>
      </c>
      <c r="N173" s="310">
        <v>17058</v>
      </c>
      <c r="O173" s="311">
        <v>17058</v>
      </c>
      <c r="P173" s="310">
        <v>17058</v>
      </c>
      <c r="Q173" s="323">
        <f t="shared" si="147"/>
        <v>17910.900000000001</v>
      </c>
      <c r="R173" s="310">
        <f t="shared" si="165"/>
        <v>18627.336000000003</v>
      </c>
      <c r="S173" s="312">
        <f t="shared" ref="S173:U173" si="181">R173*1.04</f>
        <v>19372.429440000004</v>
      </c>
      <c r="T173" s="312">
        <f t="shared" si="181"/>
        <v>20147.326617600003</v>
      </c>
      <c r="U173" s="312">
        <f t="shared" si="181"/>
        <v>20953.219682304003</v>
      </c>
    </row>
    <row r="174" spans="1:21" ht="38.25" customHeight="1">
      <c r="A174" s="456" t="s">
        <v>10</v>
      </c>
      <c r="B174" s="446" t="s">
        <v>111</v>
      </c>
      <c r="C174" s="446" t="s">
        <v>32</v>
      </c>
      <c r="D174" s="446"/>
      <c r="E174" s="453" t="s">
        <v>128</v>
      </c>
      <c r="F174" s="444" t="s">
        <v>3</v>
      </c>
      <c r="G174" s="308">
        <v>843</v>
      </c>
      <c r="H174" s="318" t="s">
        <v>32</v>
      </c>
      <c r="I174" s="309" t="s">
        <v>24</v>
      </c>
      <c r="J174" s="318" t="s">
        <v>353</v>
      </c>
      <c r="K174" s="208">
        <v>622</v>
      </c>
      <c r="L174" s="310">
        <f>L176+L227+L175+3450.5</f>
        <v>6901</v>
      </c>
      <c r="M174" s="310">
        <v>31150.3</v>
      </c>
      <c r="N174" s="310">
        <v>8491.6</v>
      </c>
      <c r="O174" s="326">
        <v>4699.3999999999996</v>
      </c>
      <c r="P174" s="310">
        <v>0</v>
      </c>
      <c r="Q174" s="310">
        <v>0</v>
      </c>
      <c r="R174" s="310">
        <v>0</v>
      </c>
      <c r="S174" s="312">
        <f t="shared" ref="S174:U174" si="182">R174*1.04</f>
        <v>0</v>
      </c>
      <c r="T174" s="312">
        <f t="shared" si="182"/>
        <v>0</v>
      </c>
      <c r="U174" s="312">
        <f t="shared" si="182"/>
        <v>0</v>
      </c>
    </row>
    <row r="175" spans="1:21" ht="21" hidden="1" customHeight="1">
      <c r="A175" s="457"/>
      <c r="B175" s="447"/>
      <c r="C175" s="447"/>
      <c r="D175" s="447"/>
      <c r="E175" s="455"/>
      <c r="F175" s="444"/>
      <c r="G175" s="308">
        <v>843</v>
      </c>
      <c r="H175" s="208">
        <v>10</v>
      </c>
      <c r="I175" s="309" t="s">
        <v>24</v>
      </c>
      <c r="J175" s="318" t="s">
        <v>354</v>
      </c>
      <c r="K175" s="208"/>
      <c r="L175" s="325">
        <f>3450.5-3450.5</f>
        <v>0</v>
      </c>
      <c r="M175" s="310">
        <v>0</v>
      </c>
      <c r="N175" s="310">
        <v>0</v>
      </c>
      <c r="O175" s="311">
        <v>0</v>
      </c>
      <c r="P175" s="310">
        <v>0</v>
      </c>
      <c r="Q175" s="323">
        <f t="shared" si="147"/>
        <v>0</v>
      </c>
      <c r="R175" s="310">
        <f t="shared" si="165"/>
        <v>0</v>
      </c>
      <c r="S175" s="312">
        <f t="shared" ref="S175:U175" si="183">R175*1.04</f>
        <v>0</v>
      </c>
      <c r="T175" s="312">
        <f t="shared" si="183"/>
        <v>0</v>
      </c>
      <c r="U175" s="312">
        <f t="shared" si="183"/>
        <v>0</v>
      </c>
    </row>
    <row r="176" spans="1:21" ht="89.25" hidden="1" customHeight="1">
      <c r="A176" s="309" t="s">
        <v>10</v>
      </c>
      <c r="B176" s="309" t="s">
        <v>18</v>
      </c>
      <c r="C176" s="309" t="s">
        <v>32</v>
      </c>
      <c r="D176" s="309" t="s">
        <v>13</v>
      </c>
      <c r="E176" s="332" t="s">
        <v>129</v>
      </c>
      <c r="F176" s="444" t="s">
        <v>3</v>
      </c>
      <c r="G176" s="308">
        <v>843</v>
      </c>
      <c r="H176" s="318" t="s">
        <v>32</v>
      </c>
      <c r="I176" s="309" t="s">
        <v>24</v>
      </c>
      <c r="J176" s="318" t="s">
        <v>355</v>
      </c>
      <c r="K176" s="208">
        <v>612</v>
      </c>
      <c r="L176" s="310">
        <v>0</v>
      </c>
      <c r="M176" s="310">
        <f>5194.9+11797</f>
        <v>16991.900000000001</v>
      </c>
      <c r="N176" s="310">
        <v>5189.7</v>
      </c>
      <c r="O176" s="311">
        <v>5189.7</v>
      </c>
      <c r="P176" s="310">
        <v>5189.7</v>
      </c>
      <c r="Q176" s="323">
        <f t="shared" si="147"/>
        <v>5449.1850000000004</v>
      </c>
      <c r="R176" s="310">
        <f t="shared" si="165"/>
        <v>5667.1524000000009</v>
      </c>
      <c r="S176" s="312">
        <f t="shared" ref="S176:U176" si="184">R176*1.04</f>
        <v>5893.8384960000012</v>
      </c>
      <c r="T176" s="312">
        <f t="shared" si="184"/>
        <v>6129.5920358400017</v>
      </c>
      <c r="U176" s="312">
        <f t="shared" si="184"/>
        <v>6374.7757172736019</v>
      </c>
    </row>
    <row r="177" spans="1:21" ht="38.25">
      <c r="A177" s="309" t="s">
        <v>10</v>
      </c>
      <c r="B177" s="309" t="s">
        <v>111</v>
      </c>
      <c r="C177" s="309" t="s">
        <v>34</v>
      </c>
      <c r="D177" s="309"/>
      <c r="E177" s="332" t="s">
        <v>130</v>
      </c>
      <c r="F177" s="444"/>
      <c r="G177" s="308">
        <v>843</v>
      </c>
      <c r="H177" s="318" t="s">
        <v>32</v>
      </c>
      <c r="I177" s="309" t="s">
        <v>16</v>
      </c>
      <c r="J177" s="318" t="s">
        <v>356</v>
      </c>
      <c r="K177" s="208">
        <v>630</v>
      </c>
      <c r="L177" s="310">
        <f>L178</f>
        <v>0</v>
      </c>
      <c r="M177" s="310">
        <f>M178</f>
        <v>62.3</v>
      </c>
      <c r="N177" s="310">
        <v>369.38054</v>
      </c>
      <c r="O177" s="326">
        <v>2202.1</v>
      </c>
      <c r="P177" s="310">
        <f>375+167</f>
        <v>542</v>
      </c>
      <c r="Q177" s="323">
        <v>375</v>
      </c>
      <c r="R177" s="310">
        <v>375</v>
      </c>
      <c r="S177" s="312">
        <f t="shared" ref="S177:U177" si="185">R177*1.04</f>
        <v>390</v>
      </c>
      <c r="T177" s="312">
        <f t="shared" si="185"/>
        <v>405.6</v>
      </c>
      <c r="U177" s="312">
        <f t="shared" si="185"/>
        <v>421.82400000000001</v>
      </c>
    </row>
    <row r="178" spans="1:21" ht="38.25" hidden="1" customHeight="1">
      <c r="A178" s="309" t="s">
        <v>10</v>
      </c>
      <c r="B178" s="309" t="s">
        <v>18</v>
      </c>
      <c r="C178" s="309" t="s">
        <v>34</v>
      </c>
      <c r="D178" s="309" t="s">
        <v>13</v>
      </c>
      <c r="E178" s="332" t="s">
        <v>131</v>
      </c>
      <c r="F178" s="268" t="s">
        <v>103</v>
      </c>
      <c r="G178" s="308">
        <v>843</v>
      </c>
      <c r="H178" s="318" t="s">
        <v>32</v>
      </c>
      <c r="I178" s="309" t="s">
        <v>16</v>
      </c>
      <c r="J178" s="318" t="s">
        <v>357</v>
      </c>
      <c r="K178" s="208">
        <v>630</v>
      </c>
      <c r="L178" s="310">
        <v>0</v>
      </c>
      <c r="M178" s="310">
        <f>100-25-12.7</f>
        <v>62.3</v>
      </c>
      <c r="N178" s="310">
        <v>0</v>
      </c>
      <c r="O178" s="311">
        <f>N178*1.05</f>
        <v>0</v>
      </c>
      <c r="P178" s="310">
        <f>O178*1.05</f>
        <v>0</v>
      </c>
      <c r="Q178" s="310">
        <f>P178*1.05</f>
        <v>0</v>
      </c>
      <c r="R178" s="310"/>
      <c r="S178" s="312">
        <f t="shared" ref="S178:U178" si="186">R178*1.04</f>
        <v>0</v>
      </c>
      <c r="T178" s="312">
        <f t="shared" si="186"/>
        <v>0</v>
      </c>
      <c r="U178" s="312">
        <f t="shared" si="186"/>
        <v>0</v>
      </c>
    </row>
    <row r="179" spans="1:21" ht="51" hidden="1">
      <c r="A179" s="309"/>
      <c r="B179" s="309"/>
      <c r="C179" s="309"/>
      <c r="D179" s="308"/>
      <c r="E179" s="324" t="s">
        <v>132</v>
      </c>
      <c r="F179" s="268" t="s">
        <v>103</v>
      </c>
      <c r="G179" s="308">
        <v>843</v>
      </c>
      <c r="H179" s="309" t="s">
        <v>32</v>
      </c>
      <c r="I179" s="309" t="s">
        <v>16</v>
      </c>
      <c r="J179" s="318" t="s">
        <v>358</v>
      </c>
      <c r="K179" s="208" t="s">
        <v>359</v>
      </c>
      <c r="L179" s="323">
        <f>SUM(L180:L181)</f>
        <v>189560.5</v>
      </c>
      <c r="M179" s="323">
        <f>SUM(M180:M181)</f>
        <v>0</v>
      </c>
      <c r="N179" s="323">
        <f>SUM(N180:N181)-N180-N181</f>
        <v>0</v>
      </c>
      <c r="O179" s="323">
        <f>SUM(O180:O181)-O180-O181</f>
        <v>0</v>
      </c>
      <c r="P179" s="323">
        <f>SUM(P180:P181)-P180-P181</f>
        <v>0</v>
      </c>
      <c r="Q179" s="323">
        <f>SUM(Q180:Q181)-Q180-Q181</f>
        <v>0</v>
      </c>
      <c r="R179" s="310"/>
      <c r="S179" s="312">
        <f t="shared" ref="S179:U179" si="187">R179*1.04</f>
        <v>0</v>
      </c>
      <c r="T179" s="312">
        <f t="shared" si="187"/>
        <v>0</v>
      </c>
      <c r="U179" s="312">
        <f t="shared" si="187"/>
        <v>0</v>
      </c>
    </row>
    <row r="180" spans="1:21" ht="51" hidden="1" customHeight="1">
      <c r="A180" s="309"/>
      <c r="B180" s="309"/>
      <c r="C180" s="309"/>
      <c r="D180" s="309"/>
      <c r="E180" s="268" t="s">
        <v>133</v>
      </c>
      <c r="F180" s="268" t="s">
        <v>103</v>
      </c>
      <c r="G180" s="308">
        <v>843</v>
      </c>
      <c r="H180" s="309" t="s">
        <v>32</v>
      </c>
      <c r="I180" s="309" t="s">
        <v>16</v>
      </c>
      <c r="J180" s="309" t="s">
        <v>360</v>
      </c>
      <c r="K180" s="208" t="s">
        <v>361</v>
      </c>
      <c r="L180" s="323">
        <v>145145.5</v>
      </c>
      <c r="M180" s="323">
        <v>0</v>
      </c>
      <c r="N180" s="323">
        <v>123590.6</v>
      </c>
      <c r="O180" s="311">
        <f t="shared" ref="O180:Q181" si="188">N180*1.05</f>
        <v>129770.13</v>
      </c>
      <c r="P180" s="310">
        <f t="shared" si="188"/>
        <v>136258.63650000002</v>
      </c>
      <c r="Q180" s="310">
        <f t="shared" si="188"/>
        <v>143071.56832500003</v>
      </c>
      <c r="R180" s="310"/>
      <c r="S180" s="312">
        <f t="shared" ref="S180:U180" si="189">R180*1.04</f>
        <v>0</v>
      </c>
      <c r="T180" s="312">
        <f t="shared" si="189"/>
        <v>0</v>
      </c>
      <c r="U180" s="312">
        <f t="shared" si="189"/>
        <v>0</v>
      </c>
    </row>
    <row r="181" spans="1:21" ht="38.25" hidden="1" customHeight="1">
      <c r="A181" s="309"/>
      <c r="B181" s="309"/>
      <c r="C181" s="309"/>
      <c r="D181" s="309"/>
      <c r="E181" s="268" t="s">
        <v>134</v>
      </c>
      <c r="F181" s="268" t="s">
        <v>103</v>
      </c>
      <c r="G181" s="308">
        <v>843</v>
      </c>
      <c r="H181" s="208">
        <v>10</v>
      </c>
      <c r="I181" s="318" t="s">
        <v>16</v>
      </c>
      <c r="J181" s="318" t="s">
        <v>362</v>
      </c>
      <c r="K181" s="208" t="s">
        <v>363</v>
      </c>
      <c r="L181" s="323">
        <v>44415</v>
      </c>
      <c r="M181" s="323">
        <v>0</v>
      </c>
      <c r="N181" s="323">
        <v>32041.599999999999</v>
      </c>
      <c r="O181" s="311">
        <f t="shared" si="188"/>
        <v>33643.68</v>
      </c>
      <c r="P181" s="310">
        <f t="shared" si="188"/>
        <v>35325.864000000001</v>
      </c>
      <c r="Q181" s="310">
        <f t="shared" si="188"/>
        <v>37092.157200000001</v>
      </c>
      <c r="R181" s="310"/>
      <c r="S181" s="312">
        <f t="shared" ref="S181:U181" si="190">R181*1.04</f>
        <v>0</v>
      </c>
      <c r="T181" s="312">
        <f t="shared" si="190"/>
        <v>0</v>
      </c>
      <c r="U181" s="312">
        <f t="shared" si="190"/>
        <v>0</v>
      </c>
    </row>
    <row r="182" spans="1:21" ht="63.75" hidden="1" customHeight="1">
      <c r="A182" s="327"/>
      <c r="B182" s="327"/>
      <c r="C182" s="327"/>
      <c r="D182" s="320"/>
      <c r="E182" s="272" t="s">
        <v>135</v>
      </c>
      <c r="F182" s="268" t="s">
        <v>103</v>
      </c>
      <c r="G182" s="308">
        <v>843</v>
      </c>
      <c r="H182" s="208">
        <v>10</v>
      </c>
      <c r="I182" s="318" t="s">
        <v>16</v>
      </c>
      <c r="J182" s="318" t="s">
        <v>364</v>
      </c>
      <c r="K182" s="208" t="s">
        <v>365</v>
      </c>
      <c r="L182" s="323">
        <f>SUM(L183:L190)</f>
        <v>1286084</v>
      </c>
      <c r="M182" s="323">
        <f>SUM(M183:M190)</f>
        <v>0</v>
      </c>
      <c r="N182" s="323">
        <f>SUM(N183:N190)-N183-N184-N185-N186-N187-N188-N189-N190</f>
        <v>4.638422979041934E-11</v>
      </c>
      <c r="O182" s="323">
        <f>SUM(O183:O190)-O183-O184-O185-O186-O187-O188-O189-O190</f>
        <v>3.5925040720030665E-11</v>
      </c>
      <c r="P182" s="323">
        <f>SUM(P183:P190)-P183-P184-P185-P186-P187-P188-P189-P190</f>
        <v>2.9285729397088289E-10</v>
      </c>
      <c r="Q182" s="323">
        <f>SUM(Q183:Q190)-Q183-Q184-Q185-Q186-Q187-Q188-Q189-Q190</f>
        <v>1.850821718107909E-10</v>
      </c>
      <c r="R182" s="310"/>
      <c r="S182" s="312">
        <f t="shared" ref="S182:U182" si="191">R182*1.04</f>
        <v>0</v>
      </c>
      <c r="T182" s="312">
        <f t="shared" si="191"/>
        <v>0</v>
      </c>
      <c r="U182" s="312">
        <f t="shared" si="191"/>
        <v>0</v>
      </c>
    </row>
    <row r="183" spans="1:21" ht="38.25" hidden="1" customHeight="1">
      <c r="A183" s="309"/>
      <c r="B183" s="309"/>
      <c r="C183" s="309"/>
      <c r="D183" s="309"/>
      <c r="E183" s="268" t="s">
        <v>136</v>
      </c>
      <c r="F183" s="268" t="s">
        <v>103</v>
      </c>
      <c r="G183" s="308">
        <v>843</v>
      </c>
      <c r="H183" s="208">
        <v>10</v>
      </c>
      <c r="I183" s="318" t="s">
        <v>16</v>
      </c>
      <c r="J183" s="318" t="s">
        <v>366</v>
      </c>
      <c r="K183" s="208">
        <v>611</v>
      </c>
      <c r="L183" s="323">
        <v>58967.1</v>
      </c>
      <c r="M183" s="323">
        <v>0</v>
      </c>
      <c r="N183" s="323">
        <v>43713.599999999999</v>
      </c>
      <c r="O183" s="311">
        <f t="shared" ref="O183:Q198" si="192">N183*1.05</f>
        <v>45899.28</v>
      </c>
      <c r="P183" s="310">
        <f t="shared" si="192"/>
        <v>48194.243999999999</v>
      </c>
      <c r="Q183" s="310">
        <f t="shared" si="192"/>
        <v>50603.956200000001</v>
      </c>
      <c r="R183" s="310"/>
      <c r="S183" s="312">
        <f t="shared" ref="S183:U183" si="193">R183*1.04</f>
        <v>0</v>
      </c>
      <c r="T183" s="312">
        <f t="shared" si="193"/>
        <v>0</v>
      </c>
      <c r="U183" s="312">
        <f t="shared" si="193"/>
        <v>0</v>
      </c>
    </row>
    <row r="184" spans="1:21" ht="38.25" hidden="1" customHeight="1">
      <c r="A184" s="309"/>
      <c r="B184" s="309"/>
      <c r="C184" s="309"/>
      <c r="D184" s="309"/>
      <c r="E184" s="268" t="s">
        <v>137</v>
      </c>
      <c r="F184" s="268" t="s">
        <v>103</v>
      </c>
      <c r="G184" s="308">
        <v>843</v>
      </c>
      <c r="H184" s="208">
        <v>10</v>
      </c>
      <c r="I184" s="318" t="s">
        <v>16</v>
      </c>
      <c r="J184" s="318" t="s">
        <v>367</v>
      </c>
      <c r="K184" s="208">
        <v>611</v>
      </c>
      <c r="L184" s="323">
        <v>370261.6</v>
      </c>
      <c r="M184" s="323">
        <v>0</v>
      </c>
      <c r="N184" s="323">
        <v>276754.2</v>
      </c>
      <c r="O184" s="311">
        <f t="shared" si="192"/>
        <v>290591.91000000003</v>
      </c>
      <c r="P184" s="310">
        <f t="shared" si="192"/>
        <v>305121.50550000003</v>
      </c>
      <c r="Q184" s="310">
        <f t="shared" si="192"/>
        <v>320377.58077500004</v>
      </c>
      <c r="R184" s="310"/>
      <c r="S184" s="312">
        <f t="shared" ref="S184:U184" si="194">R184*1.04</f>
        <v>0</v>
      </c>
      <c r="T184" s="312">
        <f t="shared" si="194"/>
        <v>0</v>
      </c>
      <c r="U184" s="312">
        <f t="shared" si="194"/>
        <v>0</v>
      </c>
    </row>
    <row r="185" spans="1:21" ht="38.25" hidden="1" customHeight="1">
      <c r="A185" s="309"/>
      <c r="B185" s="309"/>
      <c r="C185" s="309"/>
      <c r="D185" s="309"/>
      <c r="E185" s="268" t="s">
        <v>138</v>
      </c>
      <c r="F185" s="268" t="s">
        <v>103</v>
      </c>
      <c r="G185" s="308">
        <v>843</v>
      </c>
      <c r="H185" s="208">
        <v>10</v>
      </c>
      <c r="I185" s="318" t="s">
        <v>16</v>
      </c>
      <c r="J185" s="318" t="s">
        <v>368</v>
      </c>
      <c r="K185" s="208">
        <v>611</v>
      </c>
      <c r="L185" s="323">
        <v>122834</v>
      </c>
      <c r="M185" s="323">
        <v>0</v>
      </c>
      <c r="N185" s="323">
        <v>97188.5</v>
      </c>
      <c r="O185" s="311">
        <f t="shared" si="192"/>
        <v>102047.925</v>
      </c>
      <c r="P185" s="310">
        <f t="shared" si="192"/>
        <v>107150.32125000001</v>
      </c>
      <c r="Q185" s="310">
        <f t="shared" si="192"/>
        <v>112507.83731250001</v>
      </c>
      <c r="R185" s="310"/>
      <c r="S185" s="312">
        <f t="shared" ref="S185:U185" si="195">R185*1.04</f>
        <v>0</v>
      </c>
      <c r="T185" s="312">
        <f t="shared" si="195"/>
        <v>0</v>
      </c>
      <c r="U185" s="312">
        <f t="shared" si="195"/>
        <v>0</v>
      </c>
    </row>
    <row r="186" spans="1:21" ht="38.25" hidden="1" customHeight="1">
      <c r="A186" s="309"/>
      <c r="B186" s="309"/>
      <c r="C186" s="309"/>
      <c r="D186" s="309"/>
      <c r="E186" s="268" t="s">
        <v>369</v>
      </c>
      <c r="F186" s="268" t="s">
        <v>103</v>
      </c>
      <c r="G186" s="308">
        <v>843</v>
      </c>
      <c r="H186" s="208">
        <v>10</v>
      </c>
      <c r="I186" s="318" t="s">
        <v>16</v>
      </c>
      <c r="J186" s="318" t="s">
        <v>370</v>
      </c>
      <c r="K186" s="208">
        <v>611</v>
      </c>
      <c r="L186" s="323">
        <v>40711.699999999997</v>
      </c>
      <c r="M186" s="323">
        <v>0</v>
      </c>
      <c r="N186" s="323">
        <v>32775.1</v>
      </c>
      <c r="O186" s="311">
        <f t="shared" si="192"/>
        <v>34413.855000000003</v>
      </c>
      <c r="P186" s="310">
        <f t="shared" si="192"/>
        <v>36134.547750000005</v>
      </c>
      <c r="Q186" s="310">
        <f t="shared" si="192"/>
        <v>37941.275137500008</v>
      </c>
      <c r="R186" s="310"/>
      <c r="S186" s="312">
        <f t="shared" ref="S186:U186" si="196">R186*1.04</f>
        <v>0</v>
      </c>
      <c r="T186" s="312">
        <f t="shared" si="196"/>
        <v>0</v>
      </c>
      <c r="U186" s="312">
        <f t="shared" si="196"/>
        <v>0</v>
      </c>
    </row>
    <row r="187" spans="1:21" ht="38.25" hidden="1" customHeight="1">
      <c r="A187" s="309"/>
      <c r="B187" s="309"/>
      <c r="C187" s="309"/>
      <c r="D187" s="309"/>
      <c r="E187" s="268" t="s">
        <v>139</v>
      </c>
      <c r="F187" s="268" t="s">
        <v>103</v>
      </c>
      <c r="G187" s="308">
        <v>843</v>
      </c>
      <c r="H187" s="208">
        <v>10</v>
      </c>
      <c r="I187" s="318" t="s">
        <v>16</v>
      </c>
      <c r="J187" s="318" t="s">
        <v>371</v>
      </c>
      <c r="K187" s="208">
        <v>611</v>
      </c>
      <c r="L187" s="323">
        <v>10043.299999999999</v>
      </c>
      <c r="M187" s="323">
        <v>0</v>
      </c>
      <c r="N187" s="323">
        <v>6890.1</v>
      </c>
      <c r="O187" s="311">
        <f t="shared" si="192"/>
        <v>7234.6050000000005</v>
      </c>
      <c r="P187" s="310">
        <f t="shared" si="192"/>
        <v>7596.335250000001</v>
      </c>
      <c r="Q187" s="310">
        <f t="shared" si="192"/>
        <v>7976.1520125000015</v>
      </c>
      <c r="R187" s="310"/>
      <c r="S187" s="312">
        <f t="shared" ref="S187:U187" si="197">R187*1.04</f>
        <v>0</v>
      </c>
      <c r="T187" s="312">
        <f t="shared" si="197"/>
        <v>0</v>
      </c>
      <c r="U187" s="312">
        <f t="shared" si="197"/>
        <v>0</v>
      </c>
    </row>
    <row r="188" spans="1:21" ht="38.25" hidden="1" customHeight="1">
      <c r="A188" s="318"/>
      <c r="B188" s="309"/>
      <c r="C188" s="309"/>
      <c r="D188" s="309"/>
      <c r="E188" s="268" t="s">
        <v>140</v>
      </c>
      <c r="F188" s="268" t="s">
        <v>103</v>
      </c>
      <c r="G188" s="308">
        <v>843</v>
      </c>
      <c r="H188" s="208">
        <v>10</v>
      </c>
      <c r="I188" s="318" t="s">
        <v>16</v>
      </c>
      <c r="J188" s="318" t="s">
        <v>372</v>
      </c>
      <c r="K188" s="208">
        <v>611</v>
      </c>
      <c r="L188" s="323">
        <v>668638.1</v>
      </c>
      <c r="M188" s="323">
        <v>0</v>
      </c>
      <c r="N188" s="323">
        <v>526310.69999999995</v>
      </c>
      <c r="O188" s="311">
        <f t="shared" si="192"/>
        <v>552626.23499999999</v>
      </c>
      <c r="P188" s="310">
        <f t="shared" si="192"/>
        <v>580257.54674999998</v>
      </c>
      <c r="Q188" s="310">
        <f t="shared" si="192"/>
        <v>609270.42408749997</v>
      </c>
      <c r="R188" s="310"/>
      <c r="S188" s="312">
        <f t="shared" ref="S188:U188" si="198">R188*1.04</f>
        <v>0</v>
      </c>
      <c r="T188" s="312">
        <f t="shared" si="198"/>
        <v>0</v>
      </c>
      <c r="U188" s="312">
        <f t="shared" si="198"/>
        <v>0</v>
      </c>
    </row>
    <row r="189" spans="1:21" ht="38.25" hidden="1" customHeight="1">
      <c r="A189" s="322"/>
      <c r="B189" s="327"/>
      <c r="C189" s="327"/>
      <c r="D189" s="309"/>
      <c r="E189" s="268" t="s">
        <v>141</v>
      </c>
      <c r="F189" s="268" t="s">
        <v>103</v>
      </c>
      <c r="G189" s="308">
        <v>843</v>
      </c>
      <c r="H189" s="208">
        <v>10</v>
      </c>
      <c r="I189" s="318" t="s">
        <v>16</v>
      </c>
      <c r="J189" s="318" t="s">
        <v>373</v>
      </c>
      <c r="K189" s="208">
        <v>611</v>
      </c>
      <c r="L189" s="323">
        <v>11371.1</v>
      </c>
      <c r="M189" s="323">
        <v>0</v>
      </c>
      <c r="N189" s="323">
        <v>11196</v>
      </c>
      <c r="O189" s="311">
        <f t="shared" si="192"/>
        <v>11755.800000000001</v>
      </c>
      <c r="P189" s="310">
        <f t="shared" si="192"/>
        <v>12343.590000000002</v>
      </c>
      <c r="Q189" s="310">
        <f t="shared" si="192"/>
        <v>12960.769500000002</v>
      </c>
      <c r="R189" s="310"/>
      <c r="S189" s="312">
        <f t="shared" ref="S189:U189" si="199">R189*1.04</f>
        <v>0</v>
      </c>
      <c r="T189" s="312">
        <f t="shared" si="199"/>
        <v>0</v>
      </c>
      <c r="U189" s="312">
        <f t="shared" si="199"/>
        <v>0</v>
      </c>
    </row>
    <row r="190" spans="1:21" ht="38.25" hidden="1" customHeight="1">
      <c r="A190" s="318"/>
      <c r="B190" s="309"/>
      <c r="C190" s="309"/>
      <c r="D190" s="309"/>
      <c r="E190" s="268" t="s">
        <v>142</v>
      </c>
      <c r="F190" s="268" t="s">
        <v>103</v>
      </c>
      <c r="G190" s="308">
        <v>843</v>
      </c>
      <c r="H190" s="208">
        <v>10</v>
      </c>
      <c r="I190" s="318" t="s">
        <v>16</v>
      </c>
      <c r="J190" s="318" t="s">
        <v>374</v>
      </c>
      <c r="K190" s="208">
        <v>611</v>
      </c>
      <c r="L190" s="323">
        <v>3257.1</v>
      </c>
      <c r="M190" s="323">
        <v>0</v>
      </c>
      <c r="N190" s="323">
        <v>3253.8</v>
      </c>
      <c r="O190" s="311">
        <f t="shared" si="192"/>
        <v>3416.4900000000002</v>
      </c>
      <c r="P190" s="310">
        <f t="shared" si="192"/>
        <v>3587.3145000000004</v>
      </c>
      <c r="Q190" s="310">
        <f t="shared" si="192"/>
        <v>3766.6802250000005</v>
      </c>
      <c r="R190" s="310"/>
      <c r="S190" s="312">
        <f t="shared" ref="S190:U190" si="200">R190*1.04</f>
        <v>0</v>
      </c>
      <c r="T190" s="312">
        <f t="shared" si="200"/>
        <v>0</v>
      </c>
      <c r="U190" s="312">
        <f t="shared" si="200"/>
        <v>0</v>
      </c>
    </row>
    <row r="191" spans="1:21" ht="38.25" hidden="1">
      <c r="A191" s="309"/>
      <c r="B191" s="309"/>
      <c r="C191" s="309"/>
      <c r="D191" s="309"/>
      <c r="E191" s="268" t="s">
        <v>102</v>
      </c>
      <c r="F191" s="268" t="s">
        <v>103</v>
      </c>
      <c r="G191" s="308">
        <v>843</v>
      </c>
      <c r="H191" s="208">
        <v>10</v>
      </c>
      <c r="I191" s="318" t="s">
        <v>16</v>
      </c>
      <c r="J191" s="318" t="s">
        <v>375</v>
      </c>
      <c r="K191" s="208" t="s">
        <v>376</v>
      </c>
      <c r="L191" s="323">
        <f>9352.3+22420.8</f>
        <v>31773.1</v>
      </c>
      <c r="M191" s="323">
        <v>0</v>
      </c>
      <c r="N191" s="323">
        <v>32779.9</v>
      </c>
      <c r="O191" s="311">
        <f t="shared" si="192"/>
        <v>34418.895000000004</v>
      </c>
      <c r="P191" s="310">
        <f t="shared" si="192"/>
        <v>36139.839750000006</v>
      </c>
      <c r="Q191" s="310">
        <f t="shared" si="192"/>
        <v>37946.831737500012</v>
      </c>
      <c r="R191" s="310"/>
      <c r="S191" s="312">
        <f t="shared" ref="S191:U191" si="201">R191*1.04</f>
        <v>0</v>
      </c>
      <c r="T191" s="312">
        <f t="shared" si="201"/>
        <v>0</v>
      </c>
      <c r="U191" s="312">
        <f t="shared" si="201"/>
        <v>0</v>
      </c>
    </row>
    <row r="192" spans="1:21" ht="38.25" hidden="1">
      <c r="A192" s="309"/>
      <c r="B192" s="309"/>
      <c r="C192" s="309"/>
      <c r="D192" s="309"/>
      <c r="E192" s="268" t="s">
        <v>377</v>
      </c>
      <c r="F192" s="268" t="s">
        <v>103</v>
      </c>
      <c r="G192" s="308">
        <v>843</v>
      </c>
      <c r="H192" s="208">
        <v>10</v>
      </c>
      <c r="I192" s="318" t="s">
        <v>16</v>
      </c>
      <c r="J192" s="318" t="s">
        <v>378</v>
      </c>
      <c r="K192" s="208">
        <v>321</v>
      </c>
      <c r="L192" s="323">
        <v>127.9</v>
      </c>
      <c r="M192" s="323">
        <v>0</v>
      </c>
      <c r="N192" s="323">
        <v>0</v>
      </c>
      <c r="O192" s="323">
        <v>0</v>
      </c>
      <c r="P192" s="323">
        <v>0</v>
      </c>
      <c r="Q192" s="310">
        <f t="shared" si="192"/>
        <v>0</v>
      </c>
      <c r="R192" s="310"/>
      <c r="S192" s="312">
        <f t="shared" ref="S192:U192" si="202">R192*1.04</f>
        <v>0</v>
      </c>
      <c r="T192" s="312">
        <f t="shared" si="202"/>
        <v>0</v>
      </c>
      <c r="U192" s="312">
        <f t="shared" si="202"/>
        <v>0</v>
      </c>
    </row>
    <row r="193" spans="1:21" ht="51" hidden="1">
      <c r="A193" s="309"/>
      <c r="B193" s="309"/>
      <c r="C193" s="309"/>
      <c r="D193" s="309"/>
      <c r="E193" s="268" t="s">
        <v>379</v>
      </c>
      <c r="F193" s="268" t="s">
        <v>103</v>
      </c>
      <c r="G193" s="308">
        <v>843</v>
      </c>
      <c r="H193" s="208">
        <v>10</v>
      </c>
      <c r="I193" s="318" t="s">
        <v>16</v>
      </c>
      <c r="J193" s="318" t="s">
        <v>380</v>
      </c>
      <c r="K193" s="208">
        <v>321</v>
      </c>
      <c r="L193" s="323">
        <v>628.70000000000005</v>
      </c>
      <c r="M193" s="323">
        <v>0</v>
      </c>
      <c r="N193" s="323">
        <v>0</v>
      </c>
      <c r="O193" s="323">
        <v>0</v>
      </c>
      <c r="P193" s="323">
        <v>0</v>
      </c>
      <c r="Q193" s="310">
        <f t="shared" si="192"/>
        <v>0</v>
      </c>
      <c r="R193" s="310"/>
      <c r="S193" s="312">
        <f t="shared" ref="S193:U193" si="203">R193*1.04</f>
        <v>0</v>
      </c>
      <c r="T193" s="312">
        <f t="shared" si="203"/>
        <v>0</v>
      </c>
      <c r="U193" s="312">
        <f t="shared" si="203"/>
        <v>0</v>
      </c>
    </row>
    <row r="194" spans="1:21" ht="51" hidden="1">
      <c r="A194" s="309"/>
      <c r="B194" s="309"/>
      <c r="C194" s="309"/>
      <c r="D194" s="309"/>
      <c r="E194" s="268" t="s">
        <v>381</v>
      </c>
      <c r="F194" s="268" t="s">
        <v>103</v>
      </c>
      <c r="G194" s="308">
        <v>843</v>
      </c>
      <c r="H194" s="208">
        <v>10</v>
      </c>
      <c r="I194" s="318" t="s">
        <v>16</v>
      </c>
      <c r="J194" s="318" t="s">
        <v>382</v>
      </c>
      <c r="K194" s="208">
        <v>321</v>
      </c>
      <c r="L194" s="323">
        <v>0.5</v>
      </c>
      <c r="M194" s="323">
        <v>0</v>
      </c>
      <c r="N194" s="323">
        <v>0</v>
      </c>
      <c r="O194" s="323">
        <v>0</v>
      </c>
      <c r="P194" s="323">
        <v>0</v>
      </c>
      <c r="Q194" s="310">
        <f t="shared" si="192"/>
        <v>0</v>
      </c>
      <c r="R194" s="310"/>
      <c r="S194" s="312">
        <f t="shared" ref="S194:U194" si="204">R194*1.04</f>
        <v>0</v>
      </c>
      <c r="T194" s="312">
        <f t="shared" si="204"/>
        <v>0</v>
      </c>
      <c r="U194" s="312">
        <f t="shared" si="204"/>
        <v>0</v>
      </c>
    </row>
    <row r="195" spans="1:21" ht="38.25" hidden="1">
      <c r="A195" s="309"/>
      <c r="B195" s="309"/>
      <c r="C195" s="309"/>
      <c r="D195" s="309"/>
      <c r="E195" s="268" t="s">
        <v>383</v>
      </c>
      <c r="F195" s="268" t="s">
        <v>103</v>
      </c>
      <c r="G195" s="308">
        <v>843</v>
      </c>
      <c r="H195" s="208">
        <v>10</v>
      </c>
      <c r="I195" s="318" t="s">
        <v>16</v>
      </c>
      <c r="J195" s="318" t="s">
        <v>384</v>
      </c>
      <c r="K195" s="208">
        <v>340</v>
      </c>
      <c r="L195" s="323">
        <v>2183.8000000000002</v>
      </c>
      <c r="M195" s="323">
        <v>0</v>
      </c>
      <c r="N195" s="323">
        <v>0</v>
      </c>
      <c r="O195" s="323">
        <v>0</v>
      </c>
      <c r="P195" s="323">
        <v>0</v>
      </c>
      <c r="Q195" s="310">
        <f t="shared" si="192"/>
        <v>0</v>
      </c>
      <c r="R195" s="310"/>
      <c r="S195" s="312">
        <f t="shared" ref="S195:U195" si="205">R195*1.04</f>
        <v>0</v>
      </c>
      <c r="T195" s="312">
        <f t="shared" si="205"/>
        <v>0</v>
      </c>
      <c r="U195" s="312">
        <f t="shared" si="205"/>
        <v>0</v>
      </c>
    </row>
    <row r="196" spans="1:21" ht="76.5" hidden="1" customHeight="1">
      <c r="A196" s="309"/>
      <c r="B196" s="309"/>
      <c r="C196" s="309"/>
      <c r="D196" s="309"/>
      <c r="E196" s="268" t="s">
        <v>143</v>
      </c>
      <c r="F196" s="268" t="s">
        <v>103</v>
      </c>
      <c r="G196" s="308">
        <v>843</v>
      </c>
      <c r="H196" s="208">
        <v>10</v>
      </c>
      <c r="I196" s="318" t="s">
        <v>16</v>
      </c>
      <c r="J196" s="318" t="s">
        <v>384</v>
      </c>
      <c r="K196" s="309" t="s">
        <v>251</v>
      </c>
      <c r="L196" s="323"/>
      <c r="M196" s="323">
        <v>0</v>
      </c>
      <c r="N196" s="323">
        <v>0</v>
      </c>
      <c r="O196" s="323">
        <v>0</v>
      </c>
      <c r="P196" s="323">
        <v>0</v>
      </c>
      <c r="Q196" s="310">
        <f t="shared" si="192"/>
        <v>0</v>
      </c>
      <c r="R196" s="310"/>
      <c r="S196" s="312">
        <f t="shared" ref="S196:U196" si="206">R196*1.04</f>
        <v>0</v>
      </c>
      <c r="T196" s="312">
        <f t="shared" si="206"/>
        <v>0</v>
      </c>
      <c r="U196" s="312">
        <f t="shared" si="206"/>
        <v>0</v>
      </c>
    </row>
    <row r="197" spans="1:21" ht="38.25" hidden="1">
      <c r="A197" s="309"/>
      <c r="B197" s="309"/>
      <c r="C197" s="309"/>
      <c r="D197" s="309"/>
      <c r="E197" s="268" t="s">
        <v>101</v>
      </c>
      <c r="F197" s="268" t="s">
        <v>103</v>
      </c>
      <c r="G197" s="308">
        <v>843</v>
      </c>
      <c r="H197" s="208">
        <v>10</v>
      </c>
      <c r="I197" s="318" t="s">
        <v>16</v>
      </c>
      <c r="J197" s="318" t="s">
        <v>385</v>
      </c>
      <c r="K197" s="309" t="s">
        <v>251</v>
      </c>
      <c r="L197" s="323">
        <v>40.700000000000003</v>
      </c>
      <c r="M197" s="323">
        <v>0</v>
      </c>
      <c r="N197" s="323">
        <v>0</v>
      </c>
      <c r="O197" s="323">
        <v>0</v>
      </c>
      <c r="P197" s="323">
        <v>0</v>
      </c>
      <c r="Q197" s="310">
        <f t="shared" si="192"/>
        <v>0</v>
      </c>
      <c r="R197" s="310"/>
      <c r="S197" s="312">
        <f t="shared" ref="S197:U197" si="207">R197*1.04</f>
        <v>0</v>
      </c>
      <c r="T197" s="312">
        <f t="shared" si="207"/>
        <v>0</v>
      </c>
      <c r="U197" s="312">
        <f t="shared" si="207"/>
        <v>0</v>
      </c>
    </row>
    <row r="198" spans="1:21" ht="76.5" hidden="1">
      <c r="A198" s="309"/>
      <c r="B198" s="309"/>
      <c r="C198" s="309"/>
      <c r="D198" s="309"/>
      <c r="E198" s="268" t="s">
        <v>119</v>
      </c>
      <c r="F198" s="268" t="s">
        <v>103</v>
      </c>
      <c r="G198" s="308">
        <v>843</v>
      </c>
      <c r="H198" s="208">
        <v>10</v>
      </c>
      <c r="I198" s="318" t="s">
        <v>16</v>
      </c>
      <c r="J198" s="318" t="s">
        <v>386</v>
      </c>
      <c r="K198" s="208">
        <v>321</v>
      </c>
      <c r="L198" s="323">
        <v>3328.5</v>
      </c>
      <c r="M198" s="323">
        <v>0</v>
      </c>
      <c r="N198" s="323">
        <v>0</v>
      </c>
      <c r="O198" s="323">
        <v>0</v>
      </c>
      <c r="P198" s="323">
        <v>0</v>
      </c>
      <c r="Q198" s="310">
        <f t="shared" si="192"/>
        <v>0</v>
      </c>
      <c r="R198" s="310"/>
      <c r="S198" s="312">
        <f t="shared" ref="S198:U198" si="208">R198*1.04</f>
        <v>0</v>
      </c>
      <c r="T198" s="312">
        <f t="shared" si="208"/>
        <v>0</v>
      </c>
      <c r="U198" s="312">
        <f t="shared" si="208"/>
        <v>0</v>
      </c>
    </row>
    <row r="199" spans="1:21" ht="38.25" hidden="1" customHeight="1">
      <c r="A199" s="318"/>
      <c r="B199" s="309"/>
      <c r="C199" s="309"/>
      <c r="D199" s="309"/>
      <c r="E199" s="324" t="s">
        <v>144</v>
      </c>
      <c r="F199" s="268" t="s">
        <v>103</v>
      </c>
      <c r="G199" s="308">
        <v>843</v>
      </c>
      <c r="H199" s="208">
        <v>10</v>
      </c>
      <c r="I199" s="318" t="s">
        <v>16</v>
      </c>
      <c r="J199" s="318" t="s">
        <v>387</v>
      </c>
      <c r="K199" s="208"/>
      <c r="L199" s="323">
        <v>202.6</v>
      </c>
      <c r="M199" s="323">
        <v>0</v>
      </c>
      <c r="N199" s="323">
        <v>0</v>
      </c>
      <c r="O199" s="323">
        <v>0</v>
      </c>
      <c r="P199" s="323">
        <v>0</v>
      </c>
      <c r="Q199" s="310">
        <f t="shared" ref="Q199:Q247" si="209">P199*1.05</f>
        <v>0</v>
      </c>
      <c r="R199" s="310"/>
      <c r="S199" s="312">
        <f t="shared" ref="S199:U199" si="210">R199*1.04</f>
        <v>0</v>
      </c>
      <c r="T199" s="312">
        <f t="shared" si="210"/>
        <v>0</v>
      </c>
      <c r="U199" s="312">
        <f t="shared" si="210"/>
        <v>0</v>
      </c>
    </row>
    <row r="200" spans="1:21" ht="38.25" hidden="1" customHeight="1">
      <c r="A200" s="309"/>
      <c r="B200" s="309"/>
      <c r="C200" s="309"/>
      <c r="D200" s="309"/>
      <c r="E200" s="324" t="s">
        <v>145</v>
      </c>
      <c r="F200" s="268" t="s">
        <v>103</v>
      </c>
      <c r="G200" s="308">
        <v>843</v>
      </c>
      <c r="H200" s="208">
        <v>10</v>
      </c>
      <c r="I200" s="318" t="s">
        <v>16</v>
      </c>
      <c r="J200" s="318" t="s">
        <v>387</v>
      </c>
      <c r="K200" s="208">
        <v>612</v>
      </c>
      <c r="L200" s="323">
        <v>202.6</v>
      </c>
      <c r="M200" s="323">
        <v>0</v>
      </c>
      <c r="N200" s="323">
        <v>0</v>
      </c>
      <c r="O200" s="323">
        <v>0</v>
      </c>
      <c r="P200" s="323">
        <v>0</v>
      </c>
      <c r="Q200" s="310">
        <f t="shared" si="209"/>
        <v>0</v>
      </c>
      <c r="R200" s="310"/>
      <c r="S200" s="312">
        <f t="shared" ref="S200:U200" si="211">R200*1.04</f>
        <v>0</v>
      </c>
      <c r="T200" s="312">
        <f t="shared" si="211"/>
        <v>0</v>
      </c>
      <c r="U200" s="312">
        <f t="shared" si="211"/>
        <v>0</v>
      </c>
    </row>
    <row r="201" spans="1:21" ht="51" hidden="1" customHeight="1">
      <c r="A201" s="309"/>
      <c r="B201" s="309"/>
      <c r="C201" s="309"/>
      <c r="D201" s="309"/>
      <c r="E201" s="324" t="s">
        <v>388</v>
      </c>
      <c r="F201" s="268" t="s">
        <v>103</v>
      </c>
      <c r="G201" s="308">
        <v>843</v>
      </c>
      <c r="H201" s="208">
        <v>10</v>
      </c>
      <c r="I201" s="318" t="s">
        <v>16</v>
      </c>
      <c r="J201" s="318" t="s">
        <v>387</v>
      </c>
      <c r="K201" s="208">
        <v>321</v>
      </c>
      <c r="L201" s="323"/>
      <c r="M201" s="323">
        <v>0</v>
      </c>
      <c r="N201" s="323">
        <v>0</v>
      </c>
      <c r="O201" s="323">
        <v>0</v>
      </c>
      <c r="P201" s="323">
        <v>0</v>
      </c>
      <c r="Q201" s="310">
        <f t="shared" si="209"/>
        <v>0</v>
      </c>
      <c r="R201" s="310"/>
      <c r="S201" s="312">
        <f t="shared" ref="S201:U201" si="212">R201*1.04</f>
        <v>0</v>
      </c>
      <c r="T201" s="312">
        <f t="shared" si="212"/>
        <v>0</v>
      </c>
      <c r="U201" s="312">
        <f t="shared" si="212"/>
        <v>0</v>
      </c>
    </row>
    <row r="202" spans="1:21" ht="38.25" hidden="1" customHeight="1">
      <c r="A202" s="318"/>
      <c r="B202" s="309"/>
      <c r="C202" s="309"/>
      <c r="D202" s="327"/>
      <c r="E202" s="324" t="s">
        <v>389</v>
      </c>
      <c r="F202" s="268" t="s">
        <v>103</v>
      </c>
      <c r="G202" s="308">
        <v>843</v>
      </c>
      <c r="H202" s="208">
        <v>10</v>
      </c>
      <c r="I202" s="318" t="s">
        <v>16</v>
      </c>
      <c r="J202" s="318" t="s">
        <v>390</v>
      </c>
      <c r="K202" s="208" t="s">
        <v>391</v>
      </c>
      <c r="L202" s="323">
        <v>45498.6</v>
      </c>
      <c r="M202" s="323">
        <v>0</v>
      </c>
      <c r="N202" s="323">
        <v>0</v>
      </c>
      <c r="O202" s="323">
        <v>0</v>
      </c>
      <c r="P202" s="323">
        <v>0</v>
      </c>
      <c r="Q202" s="310">
        <f t="shared" si="209"/>
        <v>0</v>
      </c>
      <c r="R202" s="310"/>
      <c r="S202" s="312">
        <f t="shared" ref="S202:U202" si="213">R202*1.04</f>
        <v>0</v>
      </c>
      <c r="T202" s="312">
        <f t="shared" si="213"/>
        <v>0</v>
      </c>
      <c r="U202" s="312">
        <f t="shared" si="213"/>
        <v>0</v>
      </c>
    </row>
    <row r="203" spans="1:21" ht="38.25" hidden="1" customHeight="1">
      <c r="A203" s="309"/>
      <c r="B203" s="309"/>
      <c r="C203" s="309"/>
      <c r="D203" s="327"/>
      <c r="E203" s="334" t="s">
        <v>392</v>
      </c>
      <c r="F203" s="268" t="s">
        <v>103</v>
      </c>
      <c r="G203" s="308">
        <v>843</v>
      </c>
      <c r="H203" s="208">
        <v>10</v>
      </c>
      <c r="I203" s="318" t="s">
        <v>16</v>
      </c>
      <c r="J203" s="318" t="s">
        <v>390</v>
      </c>
      <c r="K203" s="208">
        <v>321</v>
      </c>
      <c r="L203" s="323">
        <v>41624.51053</v>
      </c>
      <c r="M203" s="323">
        <v>0</v>
      </c>
      <c r="N203" s="323">
        <v>0</v>
      </c>
      <c r="O203" s="323">
        <v>0</v>
      </c>
      <c r="P203" s="323">
        <v>0</v>
      </c>
      <c r="Q203" s="310">
        <f t="shared" si="209"/>
        <v>0</v>
      </c>
      <c r="R203" s="310"/>
      <c r="S203" s="312">
        <f t="shared" ref="S203:U203" si="214">R203*1.04</f>
        <v>0</v>
      </c>
      <c r="T203" s="312">
        <f t="shared" si="214"/>
        <v>0</v>
      </c>
      <c r="U203" s="312">
        <f t="shared" si="214"/>
        <v>0</v>
      </c>
    </row>
    <row r="204" spans="1:21" ht="38.25" hidden="1" customHeight="1">
      <c r="A204" s="309"/>
      <c r="B204" s="309"/>
      <c r="C204" s="309"/>
      <c r="D204" s="327"/>
      <c r="E204" s="268" t="s">
        <v>393</v>
      </c>
      <c r="F204" s="268" t="s">
        <v>103</v>
      </c>
      <c r="G204" s="308">
        <v>843</v>
      </c>
      <c r="H204" s="208">
        <v>10</v>
      </c>
      <c r="I204" s="318" t="s">
        <v>16</v>
      </c>
      <c r="J204" s="318" t="s">
        <v>394</v>
      </c>
      <c r="K204" s="208"/>
      <c r="L204" s="323"/>
      <c r="M204" s="323">
        <v>0</v>
      </c>
      <c r="N204" s="323">
        <v>0</v>
      </c>
      <c r="O204" s="323">
        <v>0</v>
      </c>
      <c r="P204" s="323">
        <v>0</v>
      </c>
      <c r="Q204" s="310">
        <f t="shared" si="209"/>
        <v>0</v>
      </c>
      <c r="R204" s="310"/>
      <c r="S204" s="312">
        <f t="shared" ref="S204:U204" si="215">R204*1.04</f>
        <v>0</v>
      </c>
      <c r="T204" s="312">
        <f t="shared" si="215"/>
        <v>0</v>
      </c>
      <c r="U204" s="312">
        <f t="shared" si="215"/>
        <v>0</v>
      </c>
    </row>
    <row r="205" spans="1:21" ht="38.25" hidden="1" customHeight="1">
      <c r="A205" s="318"/>
      <c r="B205" s="309"/>
      <c r="C205" s="309"/>
      <c r="D205" s="327"/>
      <c r="E205" s="268" t="s">
        <v>395</v>
      </c>
      <c r="F205" s="268" t="s">
        <v>103</v>
      </c>
      <c r="G205" s="308">
        <v>843</v>
      </c>
      <c r="H205" s="208">
        <v>10</v>
      </c>
      <c r="I205" s="318" t="s">
        <v>16</v>
      </c>
      <c r="J205" s="318" t="s">
        <v>394</v>
      </c>
      <c r="K205" s="208"/>
      <c r="L205" s="323"/>
      <c r="M205" s="323">
        <v>0</v>
      </c>
      <c r="N205" s="323">
        <v>0</v>
      </c>
      <c r="O205" s="323">
        <v>0</v>
      </c>
      <c r="P205" s="323">
        <v>0</v>
      </c>
      <c r="Q205" s="310">
        <f t="shared" si="209"/>
        <v>0</v>
      </c>
      <c r="R205" s="310"/>
      <c r="S205" s="312">
        <f t="shared" ref="S205:U205" si="216">R205*1.04</f>
        <v>0</v>
      </c>
      <c r="T205" s="312">
        <f t="shared" si="216"/>
        <v>0</v>
      </c>
      <c r="U205" s="312">
        <f t="shared" si="216"/>
        <v>0</v>
      </c>
    </row>
    <row r="206" spans="1:21" ht="89.25" hidden="1" customHeight="1">
      <c r="A206" s="309"/>
      <c r="B206" s="309"/>
      <c r="C206" s="309"/>
      <c r="D206" s="327"/>
      <c r="E206" s="268" t="s">
        <v>396</v>
      </c>
      <c r="F206" s="268" t="s">
        <v>103</v>
      </c>
      <c r="G206" s="308">
        <v>843</v>
      </c>
      <c r="H206" s="208">
        <v>10</v>
      </c>
      <c r="I206" s="318" t="s">
        <v>16</v>
      </c>
      <c r="J206" s="318" t="s">
        <v>394</v>
      </c>
      <c r="K206" s="208"/>
      <c r="L206" s="323"/>
      <c r="M206" s="323">
        <v>0</v>
      </c>
      <c r="N206" s="323">
        <v>0</v>
      </c>
      <c r="O206" s="323">
        <v>0</v>
      </c>
      <c r="P206" s="323">
        <v>0</v>
      </c>
      <c r="Q206" s="310">
        <f t="shared" si="209"/>
        <v>0</v>
      </c>
      <c r="R206" s="310"/>
      <c r="S206" s="312">
        <f t="shared" ref="S206:U206" si="217">R206*1.04</f>
        <v>0</v>
      </c>
      <c r="T206" s="312">
        <f t="shared" si="217"/>
        <v>0</v>
      </c>
      <c r="U206" s="312">
        <f t="shared" si="217"/>
        <v>0</v>
      </c>
    </row>
    <row r="207" spans="1:21" ht="38.25" hidden="1" customHeight="1">
      <c r="A207" s="309"/>
      <c r="B207" s="309"/>
      <c r="C207" s="309"/>
      <c r="D207" s="327"/>
      <c r="E207" s="268" t="s">
        <v>397</v>
      </c>
      <c r="F207" s="268" t="s">
        <v>103</v>
      </c>
      <c r="G207" s="308">
        <v>843</v>
      </c>
      <c r="H207" s="208">
        <v>10</v>
      </c>
      <c r="I207" s="318" t="s">
        <v>16</v>
      </c>
      <c r="J207" s="318" t="s">
        <v>394</v>
      </c>
      <c r="K207" s="208"/>
      <c r="L207" s="323"/>
      <c r="M207" s="323">
        <v>0</v>
      </c>
      <c r="N207" s="323">
        <v>0</v>
      </c>
      <c r="O207" s="323">
        <v>0</v>
      </c>
      <c r="P207" s="323">
        <v>0</v>
      </c>
      <c r="Q207" s="310">
        <f t="shared" si="209"/>
        <v>0</v>
      </c>
      <c r="R207" s="310"/>
      <c r="S207" s="312">
        <f t="shared" ref="S207:U207" si="218">R207*1.04</f>
        <v>0</v>
      </c>
      <c r="T207" s="312">
        <f t="shared" si="218"/>
        <v>0</v>
      </c>
      <c r="U207" s="312">
        <f t="shared" si="218"/>
        <v>0</v>
      </c>
    </row>
    <row r="208" spans="1:21" ht="38.25" hidden="1" customHeight="1">
      <c r="A208" s="318"/>
      <c r="B208" s="309"/>
      <c r="C208" s="309"/>
      <c r="D208" s="327"/>
      <c r="E208" s="268" t="s">
        <v>398</v>
      </c>
      <c r="F208" s="268" t="s">
        <v>103</v>
      </c>
      <c r="G208" s="308">
        <v>843</v>
      </c>
      <c r="H208" s="208">
        <v>10</v>
      </c>
      <c r="I208" s="318" t="s">
        <v>16</v>
      </c>
      <c r="J208" s="318" t="s">
        <v>394</v>
      </c>
      <c r="K208" s="208"/>
      <c r="L208" s="323"/>
      <c r="M208" s="323">
        <v>0</v>
      </c>
      <c r="N208" s="323">
        <v>0</v>
      </c>
      <c r="O208" s="323">
        <v>0</v>
      </c>
      <c r="P208" s="323">
        <v>0</v>
      </c>
      <c r="Q208" s="310">
        <f t="shared" si="209"/>
        <v>0</v>
      </c>
      <c r="R208" s="310"/>
      <c r="S208" s="312">
        <f t="shared" ref="S208:U208" si="219">R208*1.04</f>
        <v>0</v>
      </c>
      <c r="T208" s="312">
        <f t="shared" si="219"/>
        <v>0</v>
      </c>
      <c r="U208" s="312">
        <f t="shared" si="219"/>
        <v>0</v>
      </c>
    </row>
    <row r="209" spans="1:21" ht="38.25" hidden="1" customHeight="1">
      <c r="A209" s="309"/>
      <c r="B209" s="309"/>
      <c r="C209" s="309"/>
      <c r="D209" s="327"/>
      <c r="E209" s="334" t="s">
        <v>146</v>
      </c>
      <c r="F209" s="268" t="s">
        <v>103</v>
      </c>
      <c r="G209" s="308">
        <v>843</v>
      </c>
      <c r="H209" s="208">
        <v>10</v>
      </c>
      <c r="I209" s="318" t="s">
        <v>16</v>
      </c>
      <c r="J209" s="318" t="s">
        <v>390</v>
      </c>
      <c r="K209" s="208">
        <v>244</v>
      </c>
      <c r="L209" s="323">
        <f>L202-L203</f>
        <v>3874.089469999999</v>
      </c>
      <c r="M209" s="323">
        <v>0</v>
      </c>
      <c r="N209" s="323">
        <v>0</v>
      </c>
      <c r="O209" s="323">
        <v>0</v>
      </c>
      <c r="P209" s="323">
        <v>0</v>
      </c>
      <c r="Q209" s="310">
        <f t="shared" si="209"/>
        <v>0</v>
      </c>
      <c r="R209" s="310"/>
      <c r="S209" s="312">
        <f t="shared" ref="S209:U209" si="220">R209*1.04</f>
        <v>0</v>
      </c>
      <c r="T209" s="312">
        <f t="shared" si="220"/>
        <v>0</v>
      </c>
      <c r="U209" s="312">
        <f t="shared" si="220"/>
        <v>0</v>
      </c>
    </row>
    <row r="210" spans="1:21" ht="51" hidden="1" customHeight="1">
      <c r="A210" s="309"/>
      <c r="B210" s="309"/>
      <c r="C210" s="309"/>
      <c r="D210" s="327"/>
      <c r="E210" s="268" t="s">
        <v>399</v>
      </c>
      <c r="F210" s="268" t="s">
        <v>103</v>
      </c>
      <c r="G210" s="308">
        <v>843</v>
      </c>
      <c r="H210" s="208">
        <v>10</v>
      </c>
      <c r="I210" s="318" t="s">
        <v>16</v>
      </c>
      <c r="J210" s="318" t="s">
        <v>394</v>
      </c>
      <c r="K210" s="208"/>
      <c r="L210" s="323"/>
      <c r="M210" s="323">
        <v>0</v>
      </c>
      <c r="N210" s="323">
        <v>0</v>
      </c>
      <c r="O210" s="323">
        <v>0</v>
      </c>
      <c r="P210" s="323">
        <v>0</v>
      </c>
      <c r="Q210" s="310">
        <f t="shared" si="209"/>
        <v>0</v>
      </c>
      <c r="R210" s="310"/>
      <c r="S210" s="312">
        <f t="shared" ref="S210:U210" si="221">R210*1.04</f>
        <v>0</v>
      </c>
      <c r="T210" s="312">
        <f t="shared" si="221"/>
        <v>0</v>
      </c>
      <c r="U210" s="312">
        <f t="shared" si="221"/>
        <v>0</v>
      </c>
    </row>
    <row r="211" spans="1:21" ht="114.75" hidden="1" customHeight="1">
      <c r="A211" s="318"/>
      <c r="B211" s="309"/>
      <c r="C211" s="309"/>
      <c r="D211" s="327"/>
      <c r="E211" s="268" t="s">
        <v>400</v>
      </c>
      <c r="F211" s="268" t="s">
        <v>103</v>
      </c>
      <c r="G211" s="308">
        <v>843</v>
      </c>
      <c r="H211" s="208">
        <v>10</v>
      </c>
      <c r="I211" s="318" t="s">
        <v>16</v>
      </c>
      <c r="J211" s="318" t="s">
        <v>394</v>
      </c>
      <c r="K211" s="208"/>
      <c r="L211" s="323"/>
      <c r="M211" s="323">
        <v>0</v>
      </c>
      <c r="N211" s="323">
        <v>0</v>
      </c>
      <c r="O211" s="323">
        <v>0</v>
      </c>
      <c r="P211" s="323">
        <v>0</v>
      </c>
      <c r="Q211" s="310">
        <f t="shared" si="209"/>
        <v>0</v>
      </c>
      <c r="R211" s="310"/>
      <c r="S211" s="312">
        <f t="shared" ref="S211:U211" si="222">R211*1.04</f>
        <v>0</v>
      </c>
      <c r="T211" s="312">
        <f t="shared" si="222"/>
        <v>0</v>
      </c>
      <c r="U211" s="312">
        <f t="shared" si="222"/>
        <v>0</v>
      </c>
    </row>
    <row r="212" spans="1:21" ht="15" hidden="1" customHeight="1">
      <c r="A212" s="446"/>
      <c r="B212" s="446"/>
      <c r="C212" s="446"/>
      <c r="D212" s="446"/>
      <c r="E212" s="442" t="s">
        <v>126</v>
      </c>
      <c r="F212" s="442" t="s">
        <v>103</v>
      </c>
      <c r="G212" s="308">
        <v>843</v>
      </c>
      <c r="H212" s="308">
        <v>10</v>
      </c>
      <c r="I212" s="309" t="s">
        <v>24</v>
      </c>
      <c r="J212" s="318" t="s">
        <v>401</v>
      </c>
      <c r="K212" s="208"/>
      <c r="L212" s="310">
        <v>6588.9</v>
      </c>
      <c r="M212" s="323">
        <v>0</v>
      </c>
      <c r="N212" s="323">
        <v>0</v>
      </c>
      <c r="O212" s="323">
        <v>0</v>
      </c>
      <c r="P212" s="323">
        <v>0</v>
      </c>
      <c r="Q212" s="310">
        <f t="shared" si="209"/>
        <v>0</v>
      </c>
      <c r="R212" s="310"/>
      <c r="S212" s="312">
        <f t="shared" ref="S212:U212" si="223">R212*1.04</f>
        <v>0</v>
      </c>
      <c r="T212" s="312">
        <f t="shared" si="223"/>
        <v>0</v>
      </c>
      <c r="U212" s="312">
        <f t="shared" si="223"/>
        <v>0</v>
      </c>
    </row>
    <row r="213" spans="1:21" ht="15" hidden="1" customHeight="1">
      <c r="A213" s="451"/>
      <c r="B213" s="451"/>
      <c r="C213" s="451"/>
      <c r="D213" s="451"/>
      <c r="E213" s="452"/>
      <c r="F213" s="443"/>
      <c r="G213" s="308">
        <v>843</v>
      </c>
      <c r="H213" s="308">
        <v>10</v>
      </c>
      <c r="I213" s="309" t="s">
        <v>18</v>
      </c>
      <c r="J213" s="318" t="s">
        <v>402</v>
      </c>
      <c r="K213" s="208"/>
      <c r="L213" s="310">
        <v>24323.919999999998</v>
      </c>
      <c r="M213" s="323">
        <v>0</v>
      </c>
      <c r="N213" s="323">
        <v>0</v>
      </c>
      <c r="O213" s="323">
        <v>0</v>
      </c>
      <c r="P213" s="323">
        <v>0</v>
      </c>
      <c r="Q213" s="310">
        <f t="shared" si="209"/>
        <v>0</v>
      </c>
      <c r="R213" s="310"/>
      <c r="S213" s="312">
        <f t="shared" ref="S213:U213" si="224">R213*1.04</f>
        <v>0</v>
      </c>
      <c r="T213" s="312">
        <f t="shared" si="224"/>
        <v>0</v>
      </c>
      <c r="U213" s="312">
        <f t="shared" si="224"/>
        <v>0</v>
      </c>
    </row>
    <row r="214" spans="1:21" ht="15" hidden="1" customHeight="1">
      <c r="A214" s="451"/>
      <c r="B214" s="451"/>
      <c r="C214" s="451"/>
      <c r="D214" s="451"/>
      <c r="E214" s="452"/>
      <c r="F214" s="442" t="s">
        <v>93</v>
      </c>
      <c r="G214" s="308">
        <v>835</v>
      </c>
      <c r="H214" s="318" t="s">
        <v>36</v>
      </c>
      <c r="I214" s="309" t="s">
        <v>20</v>
      </c>
      <c r="J214" s="318" t="s">
        <v>401</v>
      </c>
      <c r="K214" s="208">
        <v>810</v>
      </c>
      <c r="L214" s="310">
        <v>1987.4</v>
      </c>
      <c r="M214" s="323">
        <v>0</v>
      </c>
      <c r="N214" s="323">
        <v>0</v>
      </c>
      <c r="O214" s="323">
        <v>0</v>
      </c>
      <c r="P214" s="323">
        <v>0</v>
      </c>
      <c r="Q214" s="310">
        <f t="shared" si="209"/>
        <v>0</v>
      </c>
      <c r="R214" s="310"/>
      <c r="S214" s="312">
        <f t="shared" ref="S214:U214" si="225">R214*1.04</f>
        <v>0</v>
      </c>
      <c r="T214" s="312">
        <f t="shared" si="225"/>
        <v>0</v>
      </c>
      <c r="U214" s="312">
        <f t="shared" si="225"/>
        <v>0</v>
      </c>
    </row>
    <row r="215" spans="1:21" ht="15" hidden="1" customHeight="1">
      <c r="A215" s="451"/>
      <c r="B215" s="451"/>
      <c r="C215" s="451"/>
      <c r="D215" s="451"/>
      <c r="E215" s="452"/>
      <c r="F215" s="443"/>
      <c r="G215" s="308">
        <v>835</v>
      </c>
      <c r="H215" s="318" t="s">
        <v>36</v>
      </c>
      <c r="I215" s="309" t="s">
        <v>20</v>
      </c>
      <c r="J215" s="318" t="s">
        <v>402</v>
      </c>
      <c r="K215" s="208">
        <v>810</v>
      </c>
      <c r="L215" s="310">
        <v>4637.3</v>
      </c>
      <c r="M215" s="323">
        <v>0</v>
      </c>
      <c r="N215" s="323">
        <v>0</v>
      </c>
      <c r="O215" s="323">
        <v>0</v>
      </c>
      <c r="P215" s="323">
        <v>0</v>
      </c>
      <c r="Q215" s="310">
        <f t="shared" si="209"/>
        <v>0</v>
      </c>
      <c r="R215" s="310"/>
      <c r="S215" s="312">
        <f t="shared" ref="S215:U215" si="226">R215*1.04</f>
        <v>0</v>
      </c>
      <c r="T215" s="312">
        <f t="shared" si="226"/>
        <v>0</v>
      </c>
      <c r="U215" s="312">
        <f t="shared" si="226"/>
        <v>0</v>
      </c>
    </row>
    <row r="216" spans="1:21" ht="15" hidden="1" customHeight="1">
      <c r="A216" s="451"/>
      <c r="B216" s="451"/>
      <c r="C216" s="451"/>
      <c r="D216" s="451"/>
      <c r="E216" s="452"/>
      <c r="F216" s="442" t="s">
        <v>191</v>
      </c>
      <c r="G216" s="308">
        <v>874</v>
      </c>
      <c r="H216" s="318" t="s">
        <v>26</v>
      </c>
      <c r="I216" s="309" t="s">
        <v>20</v>
      </c>
      <c r="J216" s="318" t="s">
        <v>401</v>
      </c>
      <c r="K216" s="208"/>
      <c r="L216" s="310">
        <v>1500</v>
      </c>
      <c r="M216" s="323">
        <v>0</v>
      </c>
      <c r="N216" s="323">
        <v>0</v>
      </c>
      <c r="O216" s="323">
        <v>0</v>
      </c>
      <c r="P216" s="323">
        <v>0</v>
      </c>
      <c r="Q216" s="310">
        <f t="shared" si="209"/>
        <v>0</v>
      </c>
      <c r="R216" s="310"/>
      <c r="S216" s="312">
        <f t="shared" ref="S216:U216" si="227">R216*1.04</f>
        <v>0</v>
      </c>
      <c r="T216" s="312">
        <f t="shared" si="227"/>
        <v>0</v>
      </c>
      <c r="U216" s="312">
        <f t="shared" si="227"/>
        <v>0</v>
      </c>
    </row>
    <row r="217" spans="1:21" ht="15" hidden="1" customHeight="1">
      <c r="A217" s="451"/>
      <c r="B217" s="451"/>
      <c r="C217" s="451"/>
      <c r="D217" s="451"/>
      <c r="E217" s="452"/>
      <c r="F217" s="443"/>
      <c r="G217" s="308">
        <v>874</v>
      </c>
      <c r="H217" s="318" t="s">
        <v>26</v>
      </c>
      <c r="I217" s="309" t="s">
        <v>20</v>
      </c>
      <c r="J217" s="318" t="s">
        <v>402</v>
      </c>
      <c r="K217" s="208"/>
      <c r="L217" s="323">
        <v>3500</v>
      </c>
      <c r="M217" s="323">
        <v>0</v>
      </c>
      <c r="N217" s="323">
        <v>0</v>
      </c>
      <c r="O217" s="323">
        <v>0</v>
      </c>
      <c r="P217" s="323">
        <v>0</v>
      </c>
      <c r="Q217" s="310">
        <f t="shared" si="209"/>
        <v>0</v>
      </c>
      <c r="R217" s="310"/>
      <c r="S217" s="312">
        <f t="shared" ref="S217:U217" si="228">R217*1.04</f>
        <v>0</v>
      </c>
      <c r="T217" s="312">
        <f t="shared" si="228"/>
        <v>0</v>
      </c>
      <c r="U217" s="312">
        <f t="shared" si="228"/>
        <v>0</v>
      </c>
    </row>
    <row r="218" spans="1:21" ht="15" hidden="1" customHeight="1">
      <c r="A218" s="451"/>
      <c r="B218" s="451"/>
      <c r="C218" s="451"/>
      <c r="D218" s="451"/>
      <c r="E218" s="452"/>
      <c r="F218" s="442" t="s">
        <v>192</v>
      </c>
      <c r="G218" s="308">
        <v>847</v>
      </c>
      <c r="H218" s="308">
        <v>11</v>
      </c>
      <c r="I218" s="309" t="s">
        <v>22</v>
      </c>
      <c r="J218" s="318" t="s">
        <v>401</v>
      </c>
      <c r="K218" s="208"/>
      <c r="L218" s="323">
        <v>1985.3</v>
      </c>
      <c r="M218" s="323">
        <v>0</v>
      </c>
      <c r="N218" s="323">
        <v>0</v>
      </c>
      <c r="O218" s="323">
        <v>0</v>
      </c>
      <c r="P218" s="323">
        <v>0</v>
      </c>
      <c r="Q218" s="310">
        <f t="shared" si="209"/>
        <v>0</v>
      </c>
      <c r="R218" s="310"/>
      <c r="S218" s="312">
        <f t="shared" ref="S218:U218" si="229">R218*1.04</f>
        <v>0</v>
      </c>
      <c r="T218" s="312">
        <f t="shared" si="229"/>
        <v>0</v>
      </c>
      <c r="U218" s="312">
        <f t="shared" si="229"/>
        <v>0</v>
      </c>
    </row>
    <row r="219" spans="1:21" ht="15" hidden="1" customHeight="1">
      <c r="A219" s="451"/>
      <c r="B219" s="451"/>
      <c r="C219" s="451"/>
      <c r="D219" s="451"/>
      <c r="E219" s="452"/>
      <c r="F219" s="443"/>
      <c r="G219" s="308">
        <v>847</v>
      </c>
      <c r="H219" s="308">
        <v>11</v>
      </c>
      <c r="I219" s="309" t="s">
        <v>24</v>
      </c>
      <c r="J219" s="318" t="s">
        <v>402</v>
      </c>
      <c r="K219" s="208"/>
      <c r="L219" s="323">
        <v>4636.8999999999996</v>
      </c>
      <c r="M219" s="323">
        <v>0</v>
      </c>
      <c r="N219" s="323">
        <v>0</v>
      </c>
      <c r="O219" s="323">
        <v>0</v>
      </c>
      <c r="P219" s="323">
        <v>0</v>
      </c>
      <c r="Q219" s="310">
        <f t="shared" si="209"/>
        <v>0</v>
      </c>
      <c r="R219" s="310"/>
      <c r="S219" s="312">
        <f t="shared" ref="S219:U219" si="230">R219*1.04</f>
        <v>0</v>
      </c>
      <c r="T219" s="312">
        <f t="shared" si="230"/>
        <v>0</v>
      </c>
      <c r="U219" s="312">
        <f t="shared" si="230"/>
        <v>0</v>
      </c>
    </row>
    <row r="220" spans="1:21" ht="15" hidden="1" customHeight="1">
      <c r="A220" s="451"/>
      <c r="B220" s="451"/>
      <c r="C220" s="451"/>
      <c r="D220" s="451"/>
      <c r="E220" s="452"/>
      <c r="F220" s="442" t="s">
        <v>325</v>
      </c>
      <c r="G220" s="308">
        <v>855</v>
      </c>
      <c r="H220" s="309" t="s">
        <v>30</v>
      </c>
      <c r="I220" s="309" t="s">
        <v>30</v>
      </c>
      <c r="J220" s="318" t="s">
        <v>401</v>
      </c>
      <c r="K220" s="208"/>
      <c r="L220" s="323">
        <v>960.1</v>
      </c>
      <c r="M220" s="323">
        <v>0</v>
      </c>
      <c r="N220" s="323">
        <v>0</v>
      </c>
      <c r="O220" s="323">
        <v>0</v>
      </c>
      <c r="P220" s="323">
        <v>0</v>
      </c>
      <c r="Q220" s="310">
        <f t="shared" si="209"/>
        <v>0</v>
      </c>
      <c r="R220" s="310"/>
      <c r="S220" s="312">
        <f t="shared" ref="S220:U220" si="231">R220*1.04</f>
        <v>0</v>
      </c>
      <c r="T220" s="312">
        <f t="shared" si="231"/>
        <v>0</v>
      </c>
      <c r="U220" s="312">
        <f t="shared" si="231"/>
        <v>0</v>
      </c>
    </row>
    <row r="221" spans="1:21" ht="15" hidden="1" customHeight="1">
      <c r="A221" s="451"/>
      <c r="B221" s="451"/>
      <c r="C221" s="451"/>
      <c r="D221" s="451"/>
      <c r="E221" s="452"/>
      <c r="F221" s="443"/>
      <c r="G221" s="308">
        <v>855</v>
      </c>
      <c r="H221" s="309" t="s">
        <v>30</v>
      </c>
      <c r="I221" s="309" t="s">
        <v>30</v>
      </c>
      <c r="J221" s="318" t="s">
        <v>402</v>
      </c>
      <c r="K221" s="208"/>
      <c r="L221" s="323">
        <v>4637.3</v>
      </c>
      <c r="M221" s="323">
        <v>0</v>
      </c>
      <c r="N221" s="323">
        <v>0</v>
      </c>
      <c r="O221" s="323">
        <v>0</v>
      </c>
      <c r="P221" s="323">
        <v>0</v>
      </c>
      <c r="Q221" s="310">
        <f t="shared" si="209"/>
        <v>0</v>
      </c>
      <c r="R221" s="310"/>
      <c r="S221" s="312">
        <f t="shared" ref="S221:U221" si="232">R221*1.04</f>
        <v>0</v>
      </c>
      <c r="T221" s="312">
        <f t="shared" si="232"/>
        <v>0</v>
      </c>
      <c r="U221" s="312">
        <f t="shared" si="232"/>
        <v>0</v>
      </c>
    </row>
    <row r="222" spans="1:21" ht="15" hidden="1" customHeight="1">
      <c r="A222" s="451"/>
      <c r="B222" s="451"/>
      <c r="C222" s="451"/>
      <c r="D222" s="451"/>
      <c r="E222" s="452"/>
      <c r="F222" s="442" t="s">
        <v>348</v>
      </c>
      <c r="G222" s="308">
        <v>857</v>
      </c>
      <c r="H222" s="309" t="s">
        <v>28</v>
      </c>
      <c r="I222" s="309" t="s">
        <v>20</v>
      </c>
      <c r="J222" s="318" t="s">
        <v>401</v>
      </c>
      <c r="K222" s="208"/>
      <c r="L222" s="323">
        <v>1900.6</v>
      </c>
      <c r="M222" s="323">
        <v>0</v>
      </c>
      <c r="N222" s="323">
        <v>0</v>
      </c>
      <c r="O222" s="323">
        <v>0</v>
      </c>
      <c r="P222" s="323">
        <v>0</v>
      </c>
      <c r="Q222" s="310">
        <f t="shared" si="209"/>
        <v>0</v>
      </c>
      <c r="R222" s="310"/>
      <c r="S222" s="312">
        <f t="shared" ref="S222:U222" si="233">R222*1.04</f>
        <v>0</v>
      </c>
      <c r="T222" s="312">
        <f t="shared" si="233"/>
        <v>0</v>
      </c>
      <c r="U222" s="312">
        <f t="shared" si="233"/>
        <v>0</v>
      </c>
    </row>
    <row r="223" spans="1:21" ht="15" hidden="1" customHeight="1">
      <c r="A223" s="447"/>
      <c r="B223" s="447"/>
      <c r="C223" s="447"/>
      <c r="D223" s="447"/>
      <c r="E223" s="443"/>
      <c r="F223" s="443"/>
      <c r="G223" s="308">
        <v>857</v>
      </c>
      <c r="H223" s="309" t="s">
        <v>28</v>
      </c>
      <c r="I223" s="309" t="s">
        <v>20</v>
      </c>
      <c r="J223" s="318" t="s">
        <v>402</v>
      </c>
      <c r="K223" s="208"/>
      <c r="L223" s="323">
        <v>4637.3</v>
      </c>
      <c r="M223" s="323">
        <v>0</v>
      </c>
      <c r="N223" s="323">
        <v>0</v>
      </c>
      <c r="O223" s="323">
        <v>0</v>
      </c>
      <c r="P223" s="323">
        <v>0</v>
      </c>
      <c r="Q223" s="310">
        <f t="shared" si="209"/>
        <v>0</v>
      </c>
      <c r="R223" s="310"/>
      <c r="S223" s="312">
        <f t="shared" ref="S223:U223" si="234">R223*1.04</f>
        <v>0</v>
      </c>
      <c r="T223" s="312">
        <f t="shared" si="234"/>
        <v>0</v>
      </c>
      <c r="U223" s="312">
        <f t="shared" si="234"/>
        <v>0</v>
      </c>
    </row>
    <row r="224" spans="1:21" ht="38.25" hidden="1" customHeight="1">
      <c r="A224" s="309"/>
      <c r="B224" s="309"/>
      <c r="C224" s="309"/>
      <c r="D224" s="309"/>
      <c r="E224" s="268" t="s">
        <v>403</v>
      </c>
      <c r="F224" s="268" t="s">
        <v>103</v>
      </c>
      <c r="G224" s="308">
        <v>843</v>
      </c>
      <c r="H224" s="309" t="s">
        <v>32</v>
      </c>
      <c r="I224" s="309" t="s">
        <v>24</v>
      </c>
      <c r="J224" s="318" t="s">
        <v>404</v>
      </c>
      <c r="K224" s="208"/>
      <c r="L224" s="323">
        <v>9153.2999999999993</v>
      </c>
      <c r="M224" s="323">
        <v>0</v>
      </c>
      <c r="N224" s="323">
        <v>0</v>
      </c>
      <c r="O224" s="323">
        <v>0</v>
      </c>
      <c r="P224" s="323">
        <v>0</v>
      </c>
      <c r="Q224" s="310">
        <f t="shared" si="209"/>
        <v>0</v>
      </c>
      <c r="R224" s="310"/>
      <c r="S224" s="312">
        <f t="shared" ref="S224:U224" si="235">R224*1.04</f>
        <v>0</v>
      </c>
      <c r="T224" s="312">
        <f t="shared" si="235"/>
        <v>0</v>
      </c>
      <c r="U224" s="312">
        <f t="shared" si="235"/>
        <v>0</v>
      </c>
    </row>
    <row r="225" spans="1:21" ht="38.25" hidden="1" customHeight="1">
      <c r="A225" s="309"/>
      <c r="B225" s="309"/>
      <c r="C225" s="309"/>
      <c r="D225" s="309"/>
      <c r="E225" s="324" t="s">
        <v>147</v>
      </c>
      <c r="F225" s="268" t="s">
        <v>103</v>
      </c>
      <c r="G225" s="308">
        <v>843</v>
      </c>
      <c r="H225" s="309" t="s">
        <v>32</v>
      </c>
      <c r="I225" s="309" t="s">
        <v>24</v>
      </c>
      <c r="J225" s="318" t="s">
        <v>404</v>
      </c>
      <c r="K225" s="208">
        <v>612</v>
      </c>
      <c r="L225" s="323">
        <f>6443.1+109.5</f>
        <v>6552.6</v>
      </c>
      <c r="M225" s="323">
        <v>0</v>
      </c>
      <c r="N225" s="323">
        <v>0</v>
      </c>
      <c r="O225" s="323">
        <v>0</v>
      </c>
      <c r="P225" s="323">
        <v>0</v>
      </c>
      <c r="Q225" s="310">
        <f t="shared" si="209"/>
        <v>0</v>
      </c>
      <c r="R225" s="310"/>
      <c r="S225" s="312">
        <f t="shared" ref="S225:U225" si="236">R225*1.04</f>
        <v>0</v>
      </c>
      <c r="T225" s="312">
        <f t="shared" si="236"/>
        <v>0</v>
      </c>
      <c r="U225" s="312">
        <f t="shared" si="236"/>
        <v>0</v>
      </c>
    </row>
    <row r="226" spans="1:21" ht="38.25" hidden="1" customHeight="1">
      <c r="A226" s="318"/>
      <c r="B226" s="309"/>
      <c r="C226" s="309"/>
      <c r="D226" s="309"/>
      <c r="E226" s="324" t="s">
        <v>148</v>
      </c>
      <c r="F226" s="268" t="s">
        <v>103</v>
      </c>
      <c r="G226" s="308">
        <v>843</v>
      </c>
      <c r="H226" s="309" t="s">
        <v>32</v>
      </c>
      <c r="I226" s="309" t="s">
        <v>24</v>
      </c>
      <c r="J226" s="318" t="s">
        <v>404</v>
      </c>
      <c r="K226" s="208" t="s">
        <v>405</v>
      </c>
      <c r="L226" s="323">
        <f>L224-L225</f>
        <v>2600.6999999999989</v>
      </c>
      <c r="M226" s="323">
        <v>0</v>
      </c>
      <c r="N226" s="323">
        <v>0</v>
      </c>
      <c r="O226" s="323">
        <v>0</v>
      </c>
      <c r="P226" s="323">
        <v>0</v>
      </c>
      <c r="Q226" s="310">
        <f t="shared" si="209"/>
        <v>0</v>
      </c>
      <c r="R226" s="310"/>
      <c r="S226" s="312">
        <f t="shared" ref="S226:U226" si="237">R226*1.04</f>
        <v>0</v>
      </c>
      <c r="T226" s="312">
        <f t="shared" si="237"/>
        <v>0</v>
      </c>
      <c r="U226" s="312">
        <f t="shared" si="237"/>
        <v>0</v>
      </c>
    </row>
    <row r="227" spans="1:21" ht="15" hidden="1" customHeight="1">
      <c r="A227" s="446"/>
      <c r="B227" s="446"/>
      <c r="C227" s="446"/>
      <c r="D227" s="448"/>
      <c r="E227" s="442" t="s">
        <v>149</v>
      </c>
      <c r="F227" s="442" t="s">
        <v>103</v>
      </c>
      <c r="G227" s="308">
        <v>843</v>
      </c>
      <c r="H227" s="208">
        <v>10</v>
      </c>
      <c r="I227" s="318" t="s">
        <v>24</v>
      </c>
      <c r="J227" s="318" t="s">
        <v>406</v>
      </c>
      <c r="K227" s="208">
        <v>321.61200000000002</v>
      </c>
      <c r="L227" s="325">
        <v>3450.5</v>
      </c>
      <c r="M227" s="323">
        <v>0</v>
      </c>
      <c r="N227" s="323">
        <v>0</v>
      </c>
      <c r="O227" s="323">
        <v>0</v>
      </c>
      <c r="P227" s="323">
        <v>0</v>
      </c>
      <c r="Q227" s="310">
        <f t="shared" si="209"/>
        <v>0</v>
      </c>
      <c r="R227" s="310"/>
      <c r="S227" s="312">
        <f t="shared" ref="S227:U227" si="238">R227*1.04</f>
        <v>0</v>
      </c>
      <c r="T227" s="312">
        <f t="shared" si="238"/>
        <v>0</v>
      </c>
      <c r="U227" s="312">
        <f t="shared" si="238"/>
        <v>0</v>
      </c>
    </row>
    <row r="228" spans="1:21" ht="15" hidden="1" customHeight="1">
      <c r="A228" s="447"/>
      <c r="B228" s="447"/>
      <c r="C228" s="447"/>
      <c r="D228" s="449"/>
      <c r="E228" s="443"/>
      <c r="F228" s="443"/>
      <c r="G228" s="308">
        <v>843</v>
      </c>
      <c r="H228" s="208">
        <v>10</v>
      </c>
      <c r="I228" s="318" t="s">
        <v>26</v>
      </c>
      <c r="J228" s="318" t="s">
        <v>354</v>
      </c>
      <c r="K228" s="208"/>
      <c r="L228" s="325">
        <v>3450.5</v>
      </c>
      <c r="M228" s="323"/>
      <c r="N228" s="323"/>
      <c r="O228" s="323"/>
      <c r="P228" s="323"/>
      <c r="Q228" s="310">
        <f t="shared" si="209"/>
        <v>0</v>
      </c>
      <c r="R228" s="310"/>
      <c r="S228" s="312">
        <f t="shared" ref="S228:U228" si="239">R228*1.04</f>
        <v>0</v>
      </c>
      <c r="T228" s="312">
        <f t="shared" si="239"/>
        <v>0</v>
      </c>
      <c r="U228" s="312">
        <f t="shared" si="239"/>
        <v>0</v>
      </c>
    </row>
    <row r="229" spans="1:21" ht="38.25" hidden="1" customHeight="1">
      <c r="A229" s="327"/>
      <c r="B229" s="309"/>
      <c r="C229" s="327"/>
      <c r="D229" s="320"/>
      <c r="E229" s="268" t="s">
        <v>150</v>
      </c>
      <c r="F229" s="268" t="s">
        <v>103</v>
      </c>
      <c r="G229" s="308">
        <v>843</v>
      </c>
      <c r="H229" s="208">
        <v>10</v>
      </c>
      <c r="I229" s="318" t="s">
        <v>24</v>
      </c>
      <c r="J229" s="318" t="s">
        <v>407</v>
      </c>
      <c r="K229" s="208"/>
      <c r="L229" s="325">
        <v>3772.9</v>
      </c>
      <c r="M229" s="323"/>
      <c r="N229" s="323"/>
      <c r="O229" s="323"/>
      <c r="P229" s="323"/>
      <c r="Q229" s="310">
        <f t="shared" si="209"/>
        <v>0</v>
      </c>
      <c r="R229" s="310"/>
      <c r="S229" s="312">
        <f t="shared" ref="S229:U229" si="240">R229*1.04</f>
        <v>0</v>
      </c>
      <c r="T229" s="312">
        <f t="shared" si="240"/>
        <v>0</v>
      </c>
      <c r="U229" s="312">
        <f t="shared" si="240"/>
        <v>0</v>
      </c>
    </row>
    <row r="230" spans="1:21" ht="25.5">
      <c r="A230" s="329" t="s">
        <v>10</v>
      </c>
      <c r="B230" s="329" t="s">
        <v>111</v>
      </c>
      <c r="C230" s="329" t="s">
        <v>470</v>
      </c>
      <c r="D230" s="329"/>
      <c r="E230" s="268" t="s">
        <v>471</v>
      </c>
      <c r="F230" s="268" t="s">
        <v>3</v>
      </c>
      <c r="G230" s="308">
        <v>843</v>
      </c>
      <c r="H230" s="318" t="s">
        <v>32</v>
      </c>
      <c r="I230" s="318" t="s">
        <v>473</v>
      </c>
      <c r="J230" s="318" t="s">
        <v>478</v>
      </c>
      <c r="K230" s="208" t="s">
        <v>474</v>
      </c>
      <c r="L230" s="311"/>
      <c r="M230" s="311"/>
      <c r="N230" s="311"/>
      <c r="O230" s="311"/>
      <c r="P230" s="311">
        <v>40783.699999999997</v>
      </c>
      <c r="Q230" s="323">
        <v>883.7</v>
      </c>
      <c r="R230" s="323">
        <v>883.7</v>
      </c>
      <c r="S230" s="312">
        <f t="shared" ref="S230:U230" si="241">R230*1.04</f>
        <v>919.04800000000012</v>
      </c>
      <c r="T230" s="312">
        <f t="shared" si="241"/>
        <v>955.80992000000015</v>
      </c>
      <c r="U230" s="312">
        <f t="shared" si="241"/>
        <v>994.04231680000021</v>
      </c>
    </row>
    <row r="231" spans="1:21" ht="15" customHeight="1">
      <c r="A231" s="446" t="s">
        <v>10</v>
      </c>
      <c r="B231" s="450" t="s">
        <v>151</v>
      </c>
      <c r="C231" s="446"/>
      <c r="D231" s="448"/>
      <c r="E231" s="444" t="s">
        <v>408</v>
      </c>
      <c r="F231" s="268" t="s">
        <v>190</v>
      </c>
      <c r="G231" s="308"/>
      <c r="H231" s="308"/>
      <c r="I231" s="309"/>
      <c r="J231" s="309"/>
      <c r="K231" s="308"/>
      <c r="L231" s="310">
        <f t="shared" ref="L231:R231" si="242">L232</f>
        <v>329578</v>
      </c>
      <c r="M231" s="310">
        <f t="shared" si="242"/>
        <v>367467.80000000005</v>
      </c>
      <c r="N231" s="310">
        <f t="shared" si="242"/>
        <v>329883.45429000002</v>
      </c>
      <c r="O231" s="311">
        <f t="shared" si="242"/>
        <v>419057.2</v>
      </c>
      <c r="P231" s="310">
        <f t="shared" si="242"/>
        <v>354898.30000000005</v>
      </c>
      <c r="Q231" s="310">
        <f t="shared" si="242"/>
        <v>346722.8</v>
      </c>
      <c r="R231" s="310">
        <f t="shared" si="242"/>
        <v>346722.8</v>
      </c>
      <c r="S231" s="312">
        <f t="shared" ref="S231:U231" si="243">R231*1.04</f>
        <v>360591.712</v>
      </c>
      <c r="T231" s="312">
        <f t="shared" si="243"/>
        <v>375015.38047999999</v>
      </c>
      <c r="U231" s="312">
        <f t="shared" si="243"/>
        <v>390015.99569920002</v>
      </c>
    </row>
    <row r="232" spans="1:21" ht="15">
      <c r="A232" s="447"/>
      <c r="B232" s="450"/>
      <c r="C232" s="447"/>
      <c r="D232" s="449"/>
      <c r="E232" s="444"/>
      <c r="F232" s="317" t="s">
        <v>3</v>
      </c>
      <c r="G232" s="308">
        <v>843</v>
      </c>
      <c r="H232" s="308"/>
      <c r="I232" s="309"/>
      <c r="J232" s="309"/>
      <c r="K232" s="308"/>
      <c r="L232" s="310">
        <f t="shared" ref="L232:R232" si="244">L233+L235+L237+L239+L242</f>
        <v>329578</v>
      </c>
      <c r="M232" s="310">
        <f t="shared" si="244"/>
        <v>367467.80000000005</v>
      </c>
      <c r="N232" s="310">
        <f t="shared" si="244"/>
        <v>329883.45429000002</v>
      </c>
      <c r="O232" s="311">
        <f t="shared" si="244"/>
        <v>419057.2</v>
      </c>
      <c r="P232" s="310">
        <f t="shared" si="244"/>
        <v>354898.30000000005</v>
      </c>
      <c r="Q232" s="310">
        <f>Q233+Q235+Q237+Q239+Q242</f>
        <v>346722.8</v>
      </c>
      <c r="R232" s="310">
        <f t="shared" si="244"/>
        <v>346722.8</v>
      </c>
      <c r="S232" s="312">
        <f t="shared" ref="S232:U232" si="245">R232*1.04</f>
        <v>360591.712</v>
      </c>
      <c r="T232" s="312">
        <f t="shared" si="245"/>
        <v>375015.38047999999</v>
      </c>
      <c r="U232" s="312">
        <f t="shared" si="245"/>
        <v>390015.99569920002</v>
      </c>
    </row>
    <row r="233" spans="1:21" ht="44.25" customHeight="1">
      <c r="A233" s="316" t="s">
        <v>10</v>
      </c>
      <c r="B233" s="309" t="s">
        <v>151</v>
      </c>
      <c r="C233" s="316" t="s">
        <v>13</v>
      </c>
      <c r="D233" s="335"/>
      <c r="E233" s="268" t="s">
        <v>152</v>
      </c>
      <c r="F233" s="317" t="s">
        <v>3</v>
      </c>
      <c r="G233" s="308">
        <v>843</v>
      </c>
      <c r="H233" s="308">
        <v>10</v>
      </c>
      <c r="I233" s="309" t="s">
        <v>18</v>
      </c>
      <c r="J233" s="309" t="s">
        <v>409</v>
      </c>
      <c r="K233" s="208" t="s">
        <v>410</v>
      </c>
      <c r="L233" s="310">
        <f>L234+L244</f>
        <v>12177.8</v>
      </c>
      <c r="M233" s="310">
        <v>15883.4</v>
      </c>
      <c r="N233" s="310">
        <v>9467.5292699999991</v>
      </c>
      <c r="O233" s="326">
        <v>12513</v>
      </c>
      <c r="P233" s="310">
        <v>3530.1</v>
      </c>
      <c r="Q233" s="310">
        <v>2380.1999999999998</v>
      </c>
      <c r="R233" s="310">
        <v>2380.1999999999998</v>
      </c>
      <c r="S233" s="312">
        <f t="shared" ref="S233:U233" si="246">R233*1.04</f>
        <v>2475.4079999999999</v>
      </c>
      <c r="T233" s="312">
        <f t="shared" si="246"/>
        <v>2574.4243200000001</v>
      </c>
      <c r="U233" s="312">
        <f t="shared" si="246"/>
        <v>2677.4012928000002</v>
      </c>
    </row>
    <row r="234" spans="1:21" ht="38.25" hidden="1" customHeight="1">
      <c r="A234" s="316" t="s">
        <v>10</v>
      </c>
      <c r="B234" s="309" t="s">
        <v>20</v>
      </c>
      <c r="C234" s="316" t="s">
        <v>13</v>
      </c>
      <c r="D234" s="309" t="s">
        <v>13</v>
      </c>
      <c r="E234" s="268" t="s">
        <v>152</v>
      </c>
      <c r="F234" s="268" t="s">
        <v>103</v>
      </c>
      <c r="G234" s="308">
        <v>843</v>
      </c>
      <c r="H234" s="308">
        <v>10</v>
      </c>
      <c r="I234" s="309" t="s">
        <v>18</v>
      </c>
      <c r="J234" s="309" t="s">
        <v>411</v>
      </c>
      <c r="K234" s="308">
        <v>880</v>
      </c>
      <c r="L234" s="310"/>
      <c r="M234" s="310">
        <f>13423.7+2753.1</f>
        <v>16176.800000000001</v>
      </c>
      <c r="N234" s="310">
        <v>13410.4</v>
      </c>
      <c r="O234" s="311">
        <v>13410.4</v>
      </c>
      <c r="P234" s="310">
        <v>13410.4</v>
      </c>
      <c r="Q234" s="310">
        <f t="shared" ref="Q234:Q241" si="247">P234*1.05</f>
        <v>14080.92</v>
      </c>
      <c r="R234" s="310">
        <f t="shared" ref="R234:R241" si="248">Q234*1.04</f>
        <v>14644.156800000001</v>
      </c>
      <c r="S234" s="312">
        <f t="shared" ref="S234:U234" si="249">R234*1.04</f>
        <v>15229.923072000001</v>
      </c>
      <c r="T234" s="312">
        <f t="shared" si="249"/>
        <v>15839.119994880002</v>
      </c>
      <c r="U234" s="312">
        <f t="shared" si="249"/>
        <v>16472.684794675202</v>
      </c>
    </row>
    <row r="235" spans="1:21" ht="42.75" customHeight="1">
      <c r="A235" s="316" t="s">
        <v>10</v>
      </c>
      <c r="B235" s="309" t="s">
        <v>151</v>
      </c>
      <c r="C235" s="316" t="s">
        <v>16</v>
      </c>
      <c r="D235" s="309"/>
      <c r="E235" s="268" t="s">
        <v>153</v>
      </c>
      <c r="F235" s="442" t="s">
        <v>3</v>
      </c>
      <c r="G235" s="308">
        <v>843</v>
      </c>
      <c r="H235" s="308">
        <v>10</v>
      </c>
      <c r="I235" s="309" t="s">
        <v>24</v>
      </c>
      <c r="J235" s="309" t="s">
        <v>412</v>
      </c>
      <c r="K235" s="208" t="s">
        <v>413</v>
      </c>
      <c r="L235" s="310">
        <f>L236+L245</f>
        <v>66910.3</v>
      </c>
      <c r="M235" s="310">
        <v>67331.199999999997</v>
      </c>
      <c r="N235" s="310">
        <v>66679.443799999994</v>
      </c>
      <c r="O235" s="326">
        <v>99915.1</v>
      </c>
      <c r="P235" s="310">
        <f>82419-180.6</f>
        <v>82238.399999999994</v>
      </c>
      <c r="Q235" s="310">
        <v>81624.2</v>
      </c>
      <c r="R235" s="310">
        <v>81624.2</v>
      </c>
      <c r="S235" s="312">
        <f t="shared" ref="S235:U235" si="250">R235*1.04</f>
        <v>84889.168000000005</v>
      </c>
      <c r="T235" s="312">
        <f t="shared" si="250"/>
        <v>88284.734720000008</v>
      </c>
      <c r="U235" s="312">
        <f t="shared" si="250"/>
        <v>91816.12410880001</v>
      </c>
    </row>
    <row r="236" spans="1:21" ht="3" hidden="1" customHeight="1">
      <c r="A236" s="316" t="s">
        <v>10</v>
      </c>
      <c r="B236" s="309" t="s">
        <v>20</v>
      </c>
      <c r="C236" s="316" t="s">
        <v>16</v>
      </c>
      <c r="D236" s="309" t="s">
        <v>13</v>
      </c>
      <c r="E236" s="268" t="s">
        <v>154</v>
      </c>
      <c r="F236" s="443"/>
      <c r="G236" s="308">
        <v>843</v>
      </c>
      <c r="H236" s="308">
        <v>10</v>
      </c>
      <c r="I236" s="309" t="s">
        <v>24</v>
      </c>
      <c r="J236" s="309" t="s">
        <v>414</v>
      </c>
      <c r="K236" s="208" t="s">
        <v>415</v>
      </c>
      <c r="L236" s="310"/>
      <c r="M236" s="310">
        <f>60374+7023.7</f>
        <v>67397.7</v>
      </c>
      <c r="N236" s="310">
        <f>49112.7+14831.6+68.1+304+135.7+991.2+151.8+22+2084.4+370.7+1559.8+118.5+689.6+26.1</f>
        <v>70466.2</v>
      </c>
      <c r="O236" s="311">
        <f>49112.7+14831.6+68.1+304+135.7+991.2+151.8+22+2084.4+370.7+1559.8+118.5+689.6+26.1</f>
        <v>70466.2</v>
      </c>
      <c r="P236" s="310">
        <f>49112.7+14831.6+68.1+304+135.7+991.2+151.8+22+2084.4+370.7+1559.8+118.5+689.6+26.1</f>
        <v>70466.2</v>
      </c>
      <c r="Q236" s="310">
        <f t="shared" si="247"/>
        <v>73989.509999999995</v>
      </c>
      <c r="R236" s="310">
        <f t="shared" si="248"/>
        <v>76949.090400000001</v>
      </c>
      <c r="S236" s="312">
        <f t="shared" ref="S236:U236" si="251">R236*1.04</f>
        <v>80027.054016000009</v>
      </c>
      <c r="T236" s="312">
        <f t="shared" si="251"/>
        <v>83228.136176640008</v>
      </c>
      <c r="U236" s="312">
        <f t="shared" si="251"/>
        <v>86557.261623705606</v>
      </c>
    </row>
    <row r="237" spans="1:21" ht="38.25">
      <c r="A237" s="316" t="s">
        <v>10</v>
      </c>
      <c r="B237" s="309" t="s">
        <v>151</v>
      </c>
      <c r="C237" s="316" t="s">
        <v>18</v>
      </c>
      <c r="D237" s="335"/>
      <c r="E237" s="268" t="s">
        <v>454</v>
      </c>
      <c r="F237" s="442" t="s">
        <v>3</v>
      </c>
      <c r="G237" s="308">
        <v>843</v>
      </c>
      <c r="H237" s="308">
        <v>10</v>
      </c>
      <c r="I237" s="309" t="s">
        <v>24</v>
      </c>
      <c r="J237" s="309" t="s">
        <v>416</v>
      </c>
      <c r="K237" s="208" t="s">
        <v>413</v>
      </c>
      <c r="L237" s="310">
        <f>L238+L246</f>
        <v>217510.6</v>
      </c>
      <c r="M237" s="310">
        <v>229175.6</v>
      </c>
      <c r="N237" s="310">
        <v>223229.86496000001</v>
      </c>
      <c r="O237" s="326">
        <v>241855.8</v>
      </c>
      <c r="P237" s="310">
        <f>227990.8+80.6</f>
        <v>228071.4</v>
      </c>
      <c r="Q237" s="310">
        <v>221964.6</v>
      </c>
      <c r="R237" s="310">
        <v>221964.6</v>
      </c>
      <c r="S237" s="312">
        <f t="shared" ref="S237:U237" si="252">R237*1.04</f>
        <v>230843.18400000001</v>
      </c>
      <c r="T237" s="312">
        <f t="shared" si="252"/>
        <v>240076.91136000003</v>
      </c>
      <c r="U237" s="312">
        <f t="shared" si="252"/>
        <v>249679.98781440002</v>
      </c>
    </row>
    <row r="238" spans="1:21" ht="38.25" hidden="1" customHeight="1">
      <c r="A238" s="316" t="s">
        <v>10</v>
      </c>
      <c r="B238" s="309" t="s">
        <v>20</v>
      </c>
      <c r="C238" s="316" t="s">
        <v>18</v>
      </c>
      <c r="D238" s="309" t="s">
        <v>13</v>
      </c>
      <c r="E238" s="268" t="s">
        <v>155</v>
      </c>
      <c r="F238" s="443"/>
      <c r="G238" s="308">
        <v>843</v>
      </c>
      <c r="H238" s="308">
        <v>10</v>
      </c>
      <c r="I238" s="309" t="s">
        <v>24</v>
      </c>
      <c r="J238" s="309" t="s">
        <v>417</v>
      </c>
      <c r="K238" s="208" t="s">
        <v>415</v>
      </c>
      <c r="L238" s="310"/>
      <c r="M238" s="310">
        <f>205254.3+24984.2</f>
        <v>230238.5</v>
      </c>
      <c r="N238" s="310">
        <f>160834+48573.9+79.9+2219.9+711.3+719.3+379.6+243.5+903.1+5005.6+688.4+1582+1476.8+2509.9+149.9</f>
        <v>226077.09999999995</v>
      </c>
      <c r="O238" s="311">
        <f>160834+48573.9+79.9+2219.9+711.3+719.3+379.6+243.5+903.1+5005.6+688.4+1582+1476.8+2509.9+149.9</f>
        <v>226077.09999999995</v>
      </c>
      <c r="P238" s="310">
        <f>160834+48573.9+79.9+2219.9+711.3+719.3+379.6+243.5+903.1+5005.6+688.4+1582+1476.8+2509.9+149.9</f>
        <v>226077.09999999995</v>
      </c>
      <c r="Q238" s="310">
        <f t="shared" si="247"/>
        <v>237380.95499999996</v>
      </c>
      <c r="R238" s="310">
        <f t="shared" si="248"/>
        <v>246876.19319999995</v>
      </c>
      <c r="S238" s="312">
        <f t="shared" ref="S238:U238" si="253">R238*1.04</f>
        <v>256751.24092799996</v>
      </c>
      <c r="T238" s="312">
        <f t="shared" si="253"/>
        <v>267021.29056511994</v>
      </c>
      <c r="U238" s="312">
        <f t="shared" si="253"/>
        <v>277702.14218772476</v>
      </c>
    </row>
    <row r="239" spans="1:21" ht="38.25">
      <c r="A239" s="316" t="s">
        <v>10</v>
      </c>
      <c r="B239" s="309" t="s">
        <v>151</v>
      </c>
      <c r="C239" s="316" t="s">
        <v>20</v>
      </c>
      <c r="D239" s="309"/>
      <c r="E239" s="268" t="s">
        <v>102</v>
      </c>
      <c r="F239" s="444" t="s">
        <v>3</v>
      </c>
      <c r="G239" s="308">
        <v>843</v>
      </c>
      <c r="H239" s="308">
        <v>10</v>
      </c>
      <c r="I239" s="309" t="s">
        <v>24</v>
      </c>
      <c r="J239" s="309" t="s">
        <v>418</v>
      </c>
      <c r="K239" s="208" t="s">
        <v>419</v>
      </c>
      <c r="L239" s="310">
        <f>L240+L241+L247+L116+L191</f>
        <v>32979.299999999996</v>
      </c>
      <c r="M239" s="310">
        <v>42791.199999999997</v>
      </c>
      <c r="N239" s="310">
        <v>18341.630949999999</v>
      </c>
      <c r="O239" s="326">
        <v>35287.300000000003</v>
      </c>
      <c r="P239" s="310">
        <v>6056.2</v>
      </c>
      <c r="Q239" s="310">
        <v>6056.2</v>
      </c>
      <c r="R239" s="310">
        <v>6056.2</v>
      </c>
      <c r="S239" s="312">
        <f t="shared" ref="S239:U239" si="254">R239*1.04</f>
        <v>6298.4480000000003</v>
      </c>
      <c r="T239" s="312">
        <f t="shared" si="254"/>
        <v>6550.3859200000006</v>
      </c>
      <c r="U239" s="312">
        <f t="shared" si="254"/>
        <v>6812.4013568000009</v>
      </c>
    </row>
    <row r="240" spans="1:21" ht="38.25" hidden="1" customHeight="1">
      <c r="A240" s="316" t="s">
        <v>10</v>
      </c>
      <c r="B240" s="309" t="s">
        <v>20</v>
      </c>
      <c r="C240" s="316" t="s">
        <v>20</v>
      </c>
      <c r="D240" s="309" t="s">
        <v>13</v>
      </c>
      <c r="E240" s="268" t="s">
        <v>156</v>
      </c>
      <c r="F240" s="444"/>
      <c r="G240" s="308">
        <v>843</v>
      </c>
      <c r="H240" s="308">
        <v>10</v>
      </c>
      <c r="I240" s="309" t="s">
        <v>24</v>
      </c>
      <c r="J240" s="309" t="s">
        <v>420</v>
      </c>
      <c r="K240" s="208" t="s">
        <v>421</v>
      </c>
      <c r="L240" s="310"/>
      <c r="M240" s="310">
        <v>13033.1</v>
      </c>
      <c r="N240" s="310">
        <v>0</v>
      </c>
      <c r="O240" s="311">
        <v>0</v>
      </c>
      <c r="P240" s="310">
        <v>0</v>
      </c>
      <c r="Q240" s="310">
        <f t="shared" si="247"/>
        <v>0</v>
      </c>
      <c r="R240" s="310">
        <f t="shared" si="248"/>
        <v>0</v>
      </c>
      <c r="S240" s="312">
        <f t="shared" ref="S240:U240" si="255">R240*1.04</f>
        <v>0</v>
      </c>
      <c r="T240" s="312">
        <f t="shared" si="255"/>
        <v>0</v>
      </c>
      <c r="U240" s="312">
        <f t="shared" si="255"/>
        <v>0</v>
      </c>
    </row>
    <row r="241" spans="1:21" ht="38.25" hidden="1" customHeight="1">
      <c r="A241" s="316" t="s">
        <v>10</v>
      </c>
      <c r="B241" s="309" t="s">
        <v>20</v>
      </c>
      <c r="C241" s="316" t="s">
        <v>20</v>
      </c>
      <c r="D241" s="309" t="s">
        <v>16</v>
      </c>
      <c r="E241" s="268" t="s">
        <v>157</v>
      </c>
      <c r="F241" s="444" t="s">
        <v>3</v>
      </c>
      <c r="G241" s="308">
        <v>843</v>
      </c>
      <c r="H241" s="308">
        <v>10</v>
      </c>
      <c r="I241" s="309" t="s">
        <v>24</v>
      </c>
      <c r="J241" s="309" t="s">
        <v>422</v>
      </c>
      <c r="K241" s="208" t="s">
        <v>421</v>
      </c>
      <c r="L241" s="310"/>
      <c r="M241" s="310">
        <f>25632.8-6094.6</f>
        <v>19538.199999999997</v>
      </c>
      <c r="N241" s="310">
        <v>0</v>
      </c>
      <c r="O241" s="311">
        <v>0</v>
      </c>
      <c r="P241" s="310">
        <v>0</v>
      </c>
      <c r="Q241" s="310">
        <f t="shared" si="247"/>
        <v>0</v>
      </c>
      <c r="R241" s="310">
        <f t="shared" si="248"/>
        <v>0</v>
      </c>
      <c r="S241" s="312">
        <f t="shared" ref="S241:U241" si="256">R241*1.04</f>
        <v>0</v>
      </c>
      <c r="T241" s="312">
        <f t="shared" si="256"/>
        <v>0</v>
      </c>
      <c r="U241" s="312">
        <f t="shared" si="256"/>
        <v>0</v>
      </c>
    </row>
    <row r="242" spans="1:21" ht="57.75" customHeight="1">
      <c r="A242" s="316" t="s">
        <v>10</v>
      </c>
      <c r="B242" s="309" t="s">
        <v>151</v>
      </c>
      <c r="C242" s="316" t="s">
        <v>22</v>
      </c>
      <c r="D242" s="309"/>
      <c r="E242" s="268" t="s">
        <v>158</v>
      </c>
      <c r="F242" s="444"/>
      <c r="G242" s="308">
        <v>843</v>
      </c>
      <c r="H242" s="309" t="s">
        <v>13</v>
      </c>
      <c r="I242" s="309" t="s">
        <v>20</v>
      </c>
      <c r="J242" s="309" t="s">
        <v>423</v>
      </c>
      <c r="K242" s="308">
        <v>530</v>
      </c>
      <c r="L242" s="310">
        <f>L243</f>
        <v>0</v>
      </c>
      <c r="M242" s="310">
        <v>12286.4</v>
      </c>
      <c r="N242" s="310">
        <v>12164.98531</v>
      </c>
      <c r="O242" s="326">
        <v>29486</v>
      </c>
      <c r="P242" s="310">
        <v>35002.199999999997</v>
      </c>
      <c r="Q242" s="310">
        <v>34697.599999999999</v>
      </c>
      <c r="R242" s="310">
        <v>34697.599999999999</v>
      </c>
      <c r="S242" s="312">
        <f t="shared" ref="S242:U242" si="257">R242*1.04</f>
        <v>36085.504000000001</v>
      </c>
      <c r="T242" s="312">
        <f t="shared" si="257"/>
        <v>37528.924160000002</v>
      </c>
      <c r="U242" s="312">
        <f t="shared" si="257"/>
        <v>39030.0811264</v>
      </c>
    </row>
    <row r="243" spans="1:21" ht="38.25" hidden="1" customHeight="1">
      <c r="A243" s="316" t="s">
        <v>10</v>
      </c>
      <c r="B243" s="309" t="s">
        <v>20</v>
      </c>
      <c r="C243" s="316" t="s">
        <v>22</v>
      </c>
      <c r="D243" s="309" t="s">
        <v>13</v>
      </c>
      <c r="E243" s="268" t="s">
        <v>159</v>
      </c>
      <c r="F243" s="268" t="s">
        <v>103</v>
      </c>
      <c r="G243" s="308">
        <v>843</v>
      </c>
      <c r="H243" s="309" t="s">
        <v>13</v>
      </c>
      <c r="I243" s="309" t="s">
        <v>20</v>
      </c>
      <c r="J243" s="309" t="s">
        <v>424</v>
      </c>
      <c r="K243" s="308">
        <v>530</v>
      </c>
      <c r="L243" s="310"/>
      <c r="M243" s="310">
        <f>11940.8+1261.4</f>
        <v>13202.199999999999</v>
      </c>
      <c r="N243" s="336">
        <v>0</v>
      </c>
      <c r="O243" s="311">
        <f t="shared" ref="O243:P247" si="258">N243*1.05</f>
        <v>0</v>
      </c>
      <c r="P243" s="310">
        <f t="shared" si="258"/>
        <v>0</v>
      </c>
      <c r="Q243" s="310">
        <f t="shared" si="209"/>
        <v>0</v>
      </c>
    </row>
    <row r="244" spans="1:21" ht="38.25" hidden="1" customHeight="1">
      <c r="A244" s="309"/>
      <c r="B244" s="309"/>
      <c r="C244" s="309"/>
      <c r="D244" s="309"/>
      <c r="E244" s="268" t="s">
        <v>160</v>
      </c>
      <c r="F244" s="268" t="s">
        <v>103</v>
      </c>
      <c r="G244" s="308">
        <v>843</v>
      </c>
      <c r="H244" s="208">
        <v>10</v>
      </c>
      <c r="I244" s="318" t="s">
        <v>18</v>
      </c>
      <c r="J244" s="318" t="s">
        <v>425</v>
      </c>
      <c r="K244" s="208" t="s">
        <v>426</v>
      </c>
      <c r="L244" s="325">
        <v>12177.8</v>
      </c>
      <c r="M244" s="323">
        <v>0</v>
      </c>
      <c r="N244" s="336">
        <v>0</v>
      </c>
      <c r="O244" s="311">
        <f t="shared" si="258"/>
        <v>0</v>
      </c>
      <c r="P244" s="310">
        <f t="shared" si="258"/>
        <v>0</v>
      </c>
      <c r="Q244" s="310">
        <f t="shared" si="209"/>
        <v>0</v>
      </c>
    </row>
    <row r="245" spans="1:21" ht="38.25" hidden="1" customHeight="1">
      <c r="A245" s="309"/>
      <c r="B245" s="309"/>
      <c r="C245" s="309"/>
      <c r="D245" s="309"/>
      <c r="E245" s="268" t="s">
        <v>161</v>
      </c>
      <c r="F245" s="268" t="s">
        <v>103</v>
      </c>
      <c r="G245" s="308">
        <v>843</v>
      </c>
      <c r="H245" s="208">
        <v>10</v>
      </c>
      <c r="I245" s="318" t="s">
        <v>24</v>
      </c>
      <c r="J245" s="318" t="s">
        <v>427</v>
      </c>
      <c r="K245" s="208" t="s">
        <v>428</v>
      </c>
      <c r="L245" s="325">
        <v>66910.3</v>
      </c>
      <c r="M245" s="323">
        <v>0</v>
      </c>
      <c r="N245" s="336">
        <v>0</v>
      </c>
      <c r="O245" s="311">
        <f t="shared" si="258"/>
        <v>0</v>
      </c>
      <c r="P245" s="310">
        <f t="shared" si="258"/>
        <v>0</v>
      </c>
      <c r="Q245" s="310">
        <f t="shared" si="209"/>
        <v>0</v>
      </c>
    </row>
    <row r="246" spans="1:21" ht="38.25" hidden="1" customHeight="1">
      <c r="A246" s="309"/>
      <c r="B246" s="309"/>
      <c r="C246" s="309"/>
      <c r="D246" s="309"/>
      <c r="E246" s="268" t="s">
        <v>429</v>
      </c>
      <c r="F246" s="268" t="s">
        <v>103</v>
      </c>
      <c r="G246" s="308">
        <v>843</v>
      </c>
      <c r="H246" s="208">
        <v>10</v>
      </c>
      <c r="I246" s="318" t="s">
        <v>24</v>
      </c>
      <c r="J246" s="318" t="s">
        <v>430</v>
      </c>
      <c r="K246" s="208" t="s">
        <v>431</v>
      </c>
      <c r="L246" s="325">
        <v>217510.6</v>
      </c>
      <c r="M246" s="323">
        <v>0</v>
      </c>
      <c r="N246" s="336">
        <v>0</v>
      </c>
      <c r="O246" s="311">
        <f t="shared" si="258"/>
        <v>0</v>
      </c>
      <c r="P246" s="310">
        <f t="shared" si="258"/>
        <v>0</v>
      </c>
      <c r="Q246" s="310">
        <f t="shared" si="209"/>
        <v>0</v>
      </c>
    </row>
    <row r="247" spans="1:21" ht="38.25" hidden="1" customHeight="1">
      <c r="A247" s="309"/>
      <c r="B247" s="309"/>
      <c r="C247" s="309"/>
      <c r="D247" s="309"/>
      <c r="E247" s="268" t="s">
        <v>102</v>
      </c>
      <c r="F247" s="268" t="s">
        <v>103</v>
      </c>
      <c r="G247" s="308">
        <v>843</v>
      </c>
      <c r="H247" s="208">
        <v>10</v>
      </c>
      <c r="I247" s="318" t="s">
        <v>24</v>
      </c>
      <c r="J247" s="318" t="s">
        <v>432</v>
      </c>
      <c r="K247" s="208">
        <v>851</v>
      </c>
      <c r="L247" s="325">
        <f>482.8+723.4</f>
        <v>1206.2</v>
      </c>
      <c r="M247" s="323">
        <v>0</v>
      </c>
      <c r="N247" s="336">
        <v>1442.2</v>
      </c>
      <c r="O247" s="311">
        <f t="shared" si="258"/>
        <v>1514.3100000000002</v>
      </c>
      <c r="P247" s="310">
        <f t="shared" si="258"/>
        <v>1590.0255000000002</v>
      </c>
      <c r="Q247" s="310">
        <f t="shared" si="209"/>
        <v>1669.5267750000003</v>
      </c>
    </row>
    <row r="248" spans="1:21" ht="15.75" customHeight="1">
      <c r="A248" s="337"/>
      <c r="B248" s="337"/>
      <c r="C248" s="337"/>
      <c r="D248" s="337"/>
      <c r="E248" s="337"/>
      <c r="F248" s="337"/>
      <c r="G248" s="337"/>
      <c r="H248" s="337"/>
      <c r="I248" s="337"/>
      <c r="J248" s="337"/>
      <c r="K248" s="337"/>
      <c r="L248" s="338"/>
      <c r="M248" s="338"/>
      <c r="N248" s="339"/>
      <c r="O248" s="340"/>
      <c r="P248" s="338"/>
      <c r="Q248" s="338"/>
    </row>
    <row r="249" spans="1:21" ht="15">
      <c r="A249" s="337"/>
      <c r="B249" s="337"/>
      <c r="C249" s="337"/>
      <c r="D249" s="337"/>
      <c r="E249" s="445" t="s">
        <v>458</v>
      </c>
      <c r="F249" s="445"/>
      <c r="G249" s="445"/>
      <c r="H249" s="445"/>
      <c r="I249" s="445"/>
      <c r="J249" s="445"/>
      <c r="K249" s="445"/>
      <c r="L249" s="445"/>
      <c r="M249" s="445"/>
      <c r="N249" s="445"/>
      <c r="O249" s="445"/>
      <c r="P249" s="445"/>
      <c r="Q249" s="445"/>
      <c r="R249" s="445"/>
    </row>
  </sheetData>
  <autoFilter ref="A16:T16"/>
  <mergeCells count="94">
    <mergeCell ref="F10:R10"/>
    <mergeCell ref="O4:R4"/>
    <mergeCell ref="O5:R5"/>
    <mergeCell ref="A8:Q8"/>
    <mergeCell ref="F11:Q11"/>
    <mergeCell ref="A12:E12"/>
    <mergeCell ref="F12:R12"/>
    <mergeCell ref="F13:R13"/>
    <mergeCell ref="A15:D15"/>
    <mergeCell ref="E15:E16"/>
    <mergeCell ref="F15:F16"/>
    <mergeCell ref="G15:K15"/>
    <mergeCell ref="L15:U15"/>
    <mergeCell ref="A26:A27"/>
    <mergeCell ref="B26:B27"/>
    <mergeCell ref="C26:C27"/>
    <mergeCell ref="D26:D27"/>
    <mergeCell ref="E26:E27"/>
    <mergeCell ref="A17:A25"/>
    <mergeCell ref="B17:B25"/>
    <mergeCell ref="C17:C25"/>
    <mergeCell ref="D17:D25"/>
    <mergeCell ref="E17:E25"/>
    <mergeCell ref="A103:A107"/>
    <mergeCell ref="B103:B107"/>
    <mergeCell ref="C103:C107"/>
    <mergeCell ref="D103:D107"/>
    <mergeCell ref="E103:E107"/>
    <mergeCell ref="A79:A83"/>
    <mergeCell ref="B79:B83"/>
    <mergeCell ref="C79:C83"/>
    <mergeCell ref="D79:D83"/>
    <mergeCell ref="E79:E83"/>
    <mergeCell ref="F161:F162"/>
    <mergeCell ref="F163:F164"/>
    <mergeCell ref="F165:F166"/>
    <mergeCell ref="G121:G122"/>
    <mergeCell ref="A133:A140"/>
    <mergeCell ref="B133:B140"/>
    <mergeCell ref="C133:C140"/>
    <mergeCell ref="D133:D140"/>
    <mergeCell ref="E133:E140"/>
    <mergeCell ref="A121:A122"/>
    <mergeCell ref="B121:B122"/>
    <mergeCell ref="C121:C122"/>
    <mergeCell ref="D121:D122"/>
    <mergeCell ref="E121:E122"/>
    <mergeCell ref="F121:F122"/>
    <mergeCell ref="A156:A171"/>
    <mergeCell ref="B156:B171"/>
    <mergeCell ref="C156:C171"/>
    <mergeCell ref="D156:D171"/>
    <mergeCell ref="E156:E171"/>
    <mergeCell ref="A174:A175"/>
    <mergeCell ref="B174:B175"/>
    <mergeCell ref="C174:C175"/>
    <mergeCell ref="D174:D175"/>
    <mergeCell ref="E174:E175"/>
    <mergeCell ref="A212:A223"/>
    <mergeCell ref="B212:B223"/>
    <mergeCell ref="C212:C223"/>
    <mergeCell ref="D212:D223"/>
    <mergeCell ref="E212:E223"/>
    <mergeCell ref="A231:A232"/>
    <mergeCell ref="B231:B232"/>
    <mergeCell ref="C231:C232"/>
    <mergeCell ref="D231:D232"/>
    <mergeCell ref="E231:E232"/>
    <mergeCell ref="A227:A228"/>
    <mergeCell ref="B227:B228"/>
    <mergeCell ref="C227:C228"/>
    <mergeCell ref="D227:D228"/>
    <mergeCell ref="E227:E228"/>
    <mergeCell ref="F241:F242"/>
    <mergeCell ref="E249:R249"/>
    <mergeCell ref="F220:F221"/>
    <mergeCell ref="F222:F223"/>
    <mergeCell ref="F227:F228"/>
    <mergeCell ref="O1:R1"/>
    <mergeCell ref="O2:R2"/>
    <mergeCell ref="F235:F236"/>
    <mergeCell ref="F237:F238"/>
    <mergeCell ref="F239:F240"/>
    <mergeCell ref="F176:F177"/>
    <mergeCell ref="F212:F213"/>
    <mergeCell ref="F214:F215"/>
    <mergeCell ref="F216:F217"/>
    <mergeCell ref="F218:F219"/>
    <mergeCell ref="F167:F168"/>
    <mergeCell ref="F170:F171"/>
    <mergeCell ref="F172:F173"/>
    <mergeCell ref="F174:F175"/>
    <mergeCell ref="F157:F158"/>
    <mergeCell ref="F159:F160"/>
  </mergeCells>
  <printOptions horizontalCentered="1"/>
  <pageMargins left="0.27559055118110237" right="0.35433070866141736" top="0.37" bottom="0.25" header="0.17" footer="0.28999999999999998"/>
  <pageSetup paperSize="9" scale="48" fitToHeight="24" orientation="landscape" r:id="rId1"/>
  <headerFooter differentFirst="1">
    <oddHeader>&amp;C&amp;P</oddHeader>
    <firstHeader xml:space="preserve">&amp;C
</firstHeader>
  </headerFooter>
</worksheet>
</file>

<file path=xl/worksheets/sheet6.xml><?xml version="1.0" encoding="utf-8"?>
<worksheet xmlns="http://schemas.openxmlformats.org/spreadsheetml/2006/main" xmlns:r="http://schemas.openxmlformats.org/officeDocument/2006/relationships">
  <sheetPr>
    <tabColor theme="9" tint="0.39997558519241921"/>
  </sheetPr>
  <dimension ref="A1:P219"/>
  <sheetViews>
    <sheetView topLeftCell="A3" zoomScale="90" zoomScaleNormal="90" workbookViewId="0">
      <selection activeCell="G73" sqref="G73"/>
    </sheetView>
  </sheetViews>
  <sheetFormatPr defaultColWidth="9.140625" defaultRowHeight="15"/>
  <cols>
    <col min="1" max="1" width="6.28515625" style="4" customWidth="1"/>
    <col min="2" max="2" width="7" style="4" customWidth="1"/>
    <col min="3" max="3" width="36" style="5" customWidth="1"/>
    <col min="4" max="4" width="43" style="5" customWidth="1"/>
    <col min="5" max="5" width="11.5703125" style="6" customWidth="1"/>
    <col min="6" max="11" width="11.5703125" style="5" customWidth="1"/>
    <col min="12" max="14" width="11.5703125" style="147" customWidth="1"/>
    <col min="15" max="15" width="9.140625" style="5" hidden="1" customWidth="1"/>
    <col min="16" max="16" width="11.5703125" style="156" bestFit="1" customWidth="1"/>
    <col min="17" max="16384" width="9.140625" style="5"/>
  </cols>
  <sheetData>
    <row r="1" spans="1:16" s="2" customFormat="1" ht="21.75" hidden="1" customHeight="1">
      <c r="E1" s="3"/>
      <c r="F1" s="3"/>
      <c r="K1" s="441" t="s">
        <v>0</v>
      </c>
      <c r="L1" s="441"/>
      <c r="M1" s="441"/>
      <c r="N1" s="441"/>
      <c r="O1" s="205"/>
    </row>
    <row r="2" spans="1:16" s="2" customFormat="1" ht="54" hidden="1" customHeight="1">
      <c r="E2" s="3"/>
      <c r="F2" s="3"/>
      <c r="K2" s="441" t="s">
        <v>177</v>
      </c>
      <c r="L2" s="441"/>
      <c r="M2" s="441"/>
      <c r="N2" s="441"/>
      <c r="O2" s="205"/>
    </row>
    <row r="3" spans="1:16">
      <c r="K3" s="476" t="s">
        <v>459</v>
      </c>
      <c r="L3" s="476"/>
      <c r="M3" s="476"/>
      <c r="N3" s="476"/>
      <c r="O3" s="206"/>
    </row>
    <row r="4" spans="1:16" ht="49.5" customHeight="1">
      <c r="C4" s="7"/>
      <c r="K4" s="441" t="s">
        <v>178</v>
      </c>
      <c r="L4" s="441"/>
      <c r="M4" s="441"/>
      <c r="N4" s="441"/>
      <c r="O4" s="205"/>
    </row>
    <row r="6" spans="1:16" ht="17.25" customHeight="1">
      <c r="A6" s="487" t="s">
        <v>433</v>
      </c>
      <c r="B6" s="487"/>
      <c r="C6" s="487"/>
      <c r="D6" s="487"/>
      <c r="E6" s="487"/>
      <c r="F6" s="487"/>
      <c r="G6" s="487"/>
      <c r="H6" s="487"/>
      <c r="I6" s="487"/>
      <c r="J6" s="487"/>
    </row>
    <row r="7" spans="1:16" ht="16.5" customHeight="1">
      <c r="A7" s="8"/>
      <c r="B7" s="8"/>
      <c r="C7" s="152"/>
      <c r="D7" s="152"/>
    </row>
    <row r="8" spans="1:16">
      <c r="A8" s="465" t="s">
        <v>163</v>
      </c>
      <c r="B8" s="465"/>
      <c r="C8" s="488"/>
      <c r="D8" s="490" t="s">
        <v>434</v>
      </c>
      <c r="E8" s="490"/>
    </row>
    <row r="9" spans="1:16">
      <c r="A9" s="467"/>
      <c r="B9" s="491"/>
      <c r="C9" s="491"/>
      <c r="D9" s="153" t="s">
        <v>1</v>
      </c>
    </row>
    <row r="10" spans="1:16">
      <c r="A10" s="465" t="s">
        <v>165</v>
      </c>
      <c r="B10" s="465"/>
      <c r="C10" s="488" t="s">
        <v>435</v>
      </c>
      <c r="D10" s="11" t="s">
        <v>3</v>
      </c>
      <c r="E10" s="12"/>
    </row>
    <row r="11" spans="1:16">
      <c r="A11" s="13"/>
      <c r="B11" s="13"/>
      <c r="C11" s="153"/>
      <c r="D11" s="153" t="s">
        <v>4</v>
      </c>
    </row>
    <row r="12" spans="1:16">
      <c r="A12" s="14"/>
      <c r="B12" s="14"/>
      <c r="C12" s="15"/>
      <c r="D12" s="15"/>
    </row>
    <row r="13" spans="1:16" s="151" customFormat="1" ht="15" customHeight="1">
      <c r="A13" s="492" t="s">
        <v>5</v>
      </c>
      <c r="B13" s="493"/>
      <c r="C13" s="494" t="s">
        <v>436</v>
      </c>
      <c r="D13" s="494" t="s">
        <v>437</v>
      </c>
      <c r="E13" s="484" t="s">
        <v>438</v>
      </c>
      <c r="F13" s="485"/>
      <c r="G13" s="485"/>
      <c r="H13" s="485"/>
      <c r="I13" s="485"/>
      <c r="J13" s="485"/>
      <c r="K13" s="485"/>
      <c r="L13" s="485"/>
      <c r="M13" s="485"/>
      <c r="N13" s="486"/>
      <c r="P13" s="157"/>
    </row>
    <row r="14" spans="1:16" s="151" customFormat="1" ht="15" customHeight="1">
      <c r="A14" s="16" t="s">
        <v>6</v>
      </c>
      <c r="B14" s="17" t="s">
        <v>7</v>
      </c>
      <c r="C14" s="468" t="s">
        <v>166</v>
      </c>
      <c r="D14" s="468"/>
      <c r="E14" s="154" t="s">
        <v>167</v>
      </c>
      <c r="F14" s="154" t="s">
        <v>168</v>
      </c>
      <c r="G14" s="154" t="s">
        <v>169</v>
      </c>
      <c r="H14" s="154" t="s">
        <v>170</v>
      </c>
      <c r="I14" s="154" t="s">
        <v>171</v>
      </c>
      <c r="J14" s="154" t="s">
        <v>172</v>
      </c>
      <c r="K14" s="18" t="s">
        <v>173</v>
      </c>
      <c r="L14" s="148" t="s">
        <v>716</v>
      </c>
      <c r="M14" s="148" t="s">
        <v>717</v>
      </c>
      <c r="N14" s="148" t="s">
        <v>718</v>
      </c>
      <c r="P14" s="159"/>
    </row>
    <row r="15" spans="1:16" s="15" customFormat="1">
      <c r="A15" s="478" t="s">
        <v>10</v>
      </c>
      <c r="B15" s="478"/>
      <c r="C15" s="481" t="s">
        <v>439</v>
      </c>
      <c r="D15" s="19" t="s">
        <v>440</v>
      </c>
      <c r="E15" s="20">
        <f>E24+E33+E42+E51</f>
        <v>7690950.9000000004</v>
      </c>
      <c r="F15" s="20">
        <f t="shared" ref="F15:N15" si="0">F24+F33+F42+F51</f>
        <v>7831917.2999999998</v>
      </c>
      <c r="G15" s="20">
        <f t="shared" si="0"/>
        <v>7744893.0999999996</v>
      </c>
      <c r="H15" s="20">
        <f t="shared" si="0"/>
        <v>8671606.7999999989</v>
      </c>
      <c r="I15" s="20">
        <f t="shared" si="0"/>
        <v>9284001.5</v>
      </c>
      <c r="J15" s="20">
        <f t="shared" si="0"/>
        <v>9019444</v>
      </c>
      <c r="K15" s="20">
        <f t="shared" si="0"/>
        <v>9037010.8000000007</v>
      </c>
      <c r="L15" s="20">
        <f t="shared" si="0"/>
        <v>9398491.1999999993</v>
      </c>
      <c r="M15" s="20">
        <f t="shared" si="0"/>
        <v>9774430.9000000004</v>
      </c>
      <c r="N15" s="20">
        <f t="shared" si="0"/>
        <v>10165408.199999999</v>
      </c>
      <c r="O15" s="20">
        <v>0</v>
      </c>
      <c r="P15" s="160">
        <f>E15+F15+G15+H15+I15+J15+K15+L15+M15+N15</f>
        <v>88618154.700000003</v>
      </c>
    </row>
    <row r="16" spans="1:16" s="22" customFormat="1" ht="17.25" customHeight="1">
      <c r="A16" s="479"/>
      <c r="B16" s="479"/>
      <c r="C16" s="482"/>
      <c r="D16" s="19" t="s">
        <v>441</v>
      </c>
      <c r="E16" s="20">
        <f t="shared" ref="E16:N16" si="1">E25+E34+E43+E52</f>
        <v>7685015.5</v>
      </c>
      <c r="F16" s="20">
        <f t="shared" si="1"/>
        <v>7816911.7999999998</v>
      </c>
      <c r="G16" s="20">
        <f t="shared" si="1"/>
        <v>7739698.1999999993</v>
      </c>
      <c r="H16" s="20">
        <f t="shared" si="1"/>
        <v>8671606.7999999989</v>
      </c>
      <c r="I16" s="20">
        <f t="shared" si="1"/>
        <v>9284001.5</v>
      </c>
      <c r="J16" s="20">
        <f t="shared" si="1"/>
        <v>9019444</v>
      </c>
      <c r="K16" s="20">
        <f t="shared" si="1"/>
        <v>9037010.8000000007</v>
      </c>
      <c r="L16" s="20">
        <f t="shared" si="1"/>
        <v>9398491.1999999993</v>
      </c>
      <c r="M16" s="20">
        <f t="shared" si="1"/>
        <v>9774430.9000000004</v>
      </c>
      <c r="N16" s="20">
        <f t="shared" si="1"/>
        <v>10165408.199999999</v>
      </c>
      <c r="O16" s="20">
        <v>0</v>
      </c>
      <c r="P16" s="160">
        <f t="shared" ref="P16:P59" si="2">E16+F16+G16+H16+I16+J16+K16+L16+M16+N16</f>
        <v>88592018.900000006</v>
      </c>
    </row>
    <row r="17" spans="1:16" s="15" customFormat="1">
      <c r="A17" s="479"/>
      <c r="B17" s="479"/>
      <c r="C17" s="482"/>
      <c r="D17" s="19" t="s">
        <v>463</v>
      </c>
      <c r="E17" s="20">
        <f t="shared" ref="E17:N17" si="3">E26+E35+E44+E53</f>
        <v>0</v>
      </c>
      <c r="F17" s="20">
        <f t="shared" si="3"/>
        <v>24823.200000000001</v>
      </c>
      <c r="G17" s="20">
        <f t="shared" si="3"/>
        <v>195494.6</v>
      </c>
      <c r="H17" s="20">
        <f t="shared" si="3"/>
        <v>77541.2</v>
      </c>
      <c r="I17" s="20">
        <f t="shared" si="3"/>
        <v>337504.4</v>
      </c>
      <c r="J17" s="20">
        <f t="shared" si="3"/>
        <v>6636.2</v>
      </c>
      <c r="K17" s="20">
        <f t="shared" si="3"/>
        <v>6505.7</v>
      </c>
      <c r="L17" s="20">
        <f t="shared" si="3"/>
        <v>6765.9</v>
      </c>
      <c r="M17" s="20">
        <f t="shared" si="3"/>
        <v>7036.6</v>
      </c>
      <c r="N17" s="20">
        <f t="shared" si="3"/>
        <v>7318</v>
      </c>
      <c r="O17" s="20">
        <v>0</v>
      </c>
      <c r="P17" s="160">
        <f t="shared" si="2"/>
        <v>669625.79999999993</v>
      </c>
    </row>
    <row r="18" spans="1:16" s="15" customFormat="1">
      <c r="A18" s="479"/>
      <c r="B18" s="479"/>
      <c r="C18" s="482"/>
      <c r="D18" s="19" t="s">
        <v>442</v>
      </c>
      <c r="E18" s="20">
        <f t="shared" ref="E18:N18" si="4">E27+E36+E45+E54</f>
        <v>2678822.9</v>
      </c>
      <c r="F18" s="20">
        <f t="shared" si="4"/>
        <v>2374224.7999999998</v>
      </c>
      <c r="G18" s="20">
        <f t="shared" si="4"/>
        <v>1919259.1</v>
      </c>
      <c r="H18" s="20">
        <f t="shared" si="4"/>
        <v>2166407</v>
      </c>
      <c r="I18" s="20">
        <f t="shared" si="4"/>
        <v>2762462</v>
      </c>
      <c r="J18" s="20">
        <f t="shared" si="4"/>
        <v>2892522.7</v>
      </c>
      <c r="K18" s="20">
        <f t="shared" si="4"/>
        <v>2945177.9</v>
      </c>
      <c r="L18" s="20">
        <f t="shared" si="4"/>
        <v>3062985</v>
      </c>
      <c r="M18" s="20">
        <f t="shared" si="4"/>
        <v>3185504.4000000004</v>
      </c>
      <c r="N18" s="20">
        <f t="shared" si="4"/>
        <v>3312924.6</v>
      </c>
      <c r="O18" s="20">
        <v>0</v>
      </c>
      <c r="P18" s="160">
        <f t="shared" si="2"/>
        <v>27300290.399999999</v>
      </c>
    </row>
    <row r="19" spans="1:16" s="15" customFormat="1" ht="30">
      <c r="A19" s="479"/>
      <c r="B19" s="479"/>
      <c r="C19" s="482"/>
      <c r="D19" s="19" t="s">
        <v>455</v>
      </c>
      <c r="E19" s="20">
        <f t="shared" ref="E19:N19" si="5">E28+E37+E46+E55</f>
        <v>0</v>
      </c>
      <c r="F19" s="20">
        <f t="shared" si="5"/>
        <v>0</v>
      </c>
      <c r="G19" s="20">
        <f t="shared" si="5"/>
        <v>0</v>
      </c>
      <c r="H19" s="20">
        <f t="shared" si="5"/>
        <v>0</v>
      </c>
      <c r="I19" s="20">
        <f t="shared" si="5"/>
        <v>39900</v>
      </c>
      <c r="J19" s="20">
        <f t="shared" si="5"/>
        <v>0</v>
      </c>
      <c r="K19" s="20">
        <f t="shared" si="5"/>
        <v>0</v>
      </c>
      <c r="L19" s="20">
        <f t="shared" si="5"/>
        <v>0</v>
      </c>
      <c r="M19" s="20">
        <f t="shared" si="5"/>
        <v>0</v>
      </c>
      <c r="N19" s="20">
        <f t="shared" si="5"/>
        <v>0</v>
      </c>
      <c r="O19" s="20">
        <v>0</v>
      </c>
      <c r="P19" s="160">
        <f t="shared" si="2"/>
        <v>39900</v>
      </c>
    </row>
    <row r="20" spans="1:16" s="15" customFormat="1" ht="30">
      <c r="A20" s="479"/>
      <c r="B20" s="479"/>
      <c r="C20" s="482"/>
      <c r="D20" s="19" t="s">
        <v>443</v>
      </c>
      <c r="E20" s="20">
        <f t="shared" ref="E20:N20" si="6">E29+E38+E47+E56</f>
        <v>0</v>
      </c>
      <c r="F20" s="20">
        <f t="shared" si="6"/>
        <v>0</v>
      </c>
      <c r="G20" s="20">
        <f t="shared" si="6"/>
        <v>0</v>
      </c>
      <c r="H20" s="20">
        <f t="shared" si="6"/>
        <v>0</v>
      </c>
      <c r="I20" s="20">
        <f t="shared" si="6"/>
        <v>0</v>
      </c>
      <c r="J20" s="20">
        <f t="shared" si="6"/>
        <v>0</v>
      </c>
      <c r="K20" s="20">
        <f t="shared" si="6"/>
        <v>0</v>
      </c>
      <c r="L20" s="20">
        <f t="shared" si="6"/>
        <v>0</v>
      </c>
      <c r="M20" s="20">
        <f t="shared" si="6"/>
        <v>0</v>
      </c>
      <c r="N20" s="20">
        <f t="shared" si="6"/>
        <v>0</v>
      </c>
      <c r="O20" s="20">
        <v>0</v>
      </c>
      <c r="P20" s="160">
        <f t="shared" si="2"/>
        <v>0</v>
      </c>
    </row>
    <row r="21" spans="1:16" s="15" customFormat="1" ht="45">
      <c r="A21" s="479"/>
      <c r="B21" s="479"/>
      <c r="C21" s="482"/>
      <c r="D21" s="19" t="s">
        <v>444</v>
      </c>
      <c r="E21" s="20">
        <f t="shared" ref="E21:N21" si="7">E30+E39+E48+E57</f>
        <v>0</v>
      </c>
      <c r="F21" s="20">
        <f t="shared" si="7"/>
        <v>0</v>
      </c>
      <c r="G21" s="20">
        <f t="shared" si="7"/>
        <v>0</v>
      </c>
      <c r="H21" s="20">
        <f t="shared" si="7"/>
        <v>0</v>
      </c>
      <c r="I21" s="20">
        <f t="shared" si="7"/>
        <v>0</v>
      </c>
      <c r="J21" s="20">
        <f t="shared" si="7"/>
        <v>0</v>
      </c>
      <c r="K21" s="20">
        <f t="shared" si="7"/>
        <v>0</v>
      </c>
      <c r="L21" s="20">
        <f t="shared" si="7"/>
        <v>0</v>
      </c>
      <c r="M21" s="20">
        <f t="shared" si="7"/>
        <v>0</v>
      </c>
      <c r="N21" s="20">
        <f t="shared" si="7"/>
        <v>0</v>
      </c>
      <c r="O21" s="20">
        <v>0</v>
      </c>
      <c r="P21" s="160">
        <f t="shared" si="2"/>
        <v>0</v>
      </c>
    </row>
    <row r="22" spans="1:16" s="15" customFormat="1" ht="30">
      <c r="A22" s="479"/>
      <c r="B22" s="479"/>
      <c r="C22" s="482"/>
      <c r="D22" s="19" t="s">
        <v>445</v>
      </c>
      <c r="E22" s="20">
        <f t="shared" ref="E22:N22" si="8">E31+E40+E49+E58</f>
        <v>5935.4</v>
      </c>
      <c r="F22" s="20">
        <f t="shared" si="8"/>
        <v>847.1</v>
      </c>
      <c r="G22" s="20">
        <f t="shared" si="8"/>
        <v>0</v>
      </c>
      <c r="H22" s="20">
        <f t="shared" si="8"/>
        <v>0</v>
      </c>
      <c r="I22" s="20">
        <f t="shared" si="8"/>
        <v>0</v>
      </c>
      <c r="J22" s="20">
        <f t="shared" si="8"/>
        <v>0</v>
      </c>
      <c r="K22" s="20">
        <f t="shared" si="8"/>
        <v>0</v>
      </c>
      <c r="L22" s="20">
        <f t="shared" si="8"/>
        <v>0</v>
      </c>
      <c r="M22" s="20">
        <f t="shared" si="8"/>
        <v>0</v>
      </c>
      <c r="N22" s="20">
        <f t="shared" si="8"/>
        <v>0</v>
      </c>
      <c r="O22" s="20">
        <v>0</v>
      </c>
      <c r="P22" s="160">
        <f t="shared" si="2"/>
        <v>6782.5</v>
      </c>
    </row>
    <row r="23" spans="1:16" s="15" customFormat="1">
      <c r="A23" s="480"/>
      <c r="B23" s="480"/>
      <c r="C23" s="483"/>
      <c r="D23" s="19" t="s">
        <v>446</v>
      </c>
      <c r="E23" s="20">
        <f t="shared" ref="E23:N23" si="9">E32+E41+E50+E59</f>
        <v>0</v>
      </c>
      <c r="F23" s="20">
        <f t="shared" si="9"/>
        <v>14158.4</v>
      </c>
      <c r="G23" s="20">
        <f t="shared" si="9"/>
        <v>5194.8999999999996</v>
      </c>
      <c r="H23" s="20">
        <f t="shared" si="9"/>
        <v>0</v>
      </c>
      <c r="I23" s="20">
        <f t="shared" si="9"/>
        <v>0</v>
      </c>
      <c r="J23" s="20">
        <f t="shared" si="9"/>
        <v>0</v>
      </c>
      <c r="K23" s="20">
        <f t="shared" si="9"/>
        <v>0</v>
      </c>
      <c r="L23" s="20">
        <f t="shared" si="9"/>
        <v>0</v>
      </c>
      <c r="M23" s="20">
        <f t="shared" si="9"/>
        <v>0</v>
      </c>
      <c r="N23" s="20">
        <f t="shared" si="9"/>
        <v>0</v>
      </c>
      <c r="O23" s="20">
        <v>0</v>
      </c>
      <c r="P23" s="160">
        <f t="shared" si="2"/>
        <v>19353.3</v>
      </c>
    </row>
    <row r="24" spans="1:16" s="15" customFormat="1" ht="15" customHeight="1">
      <c r="A24" s="478" t="s">
        <v>10</v>
      </c>
      <c r="B24" s="478" t="s">
        <v>11</v>
      </c>
      <c r="C24" s="481" t="s">
        <v>447</v>
      </c>
      <c r="D24" s="19" t="s">
        <v>440</v>
      </c>
      <c r="E24" s="20">
        <v>3796137.6</v>
      </c>
      <c r="F24" s="20">
        <v>4030027.5</v>
      </c>
      <c r="G24" s="20">
        <v>3659543.8</v>
      </c>
      <c r="H24" s="20">
        <v>3853914</v>
      </c>
      <c r="I24" s="20">
        <v>3722080.6</v>
      </c>
      <c r="J24" s="20">
        <v>3726867.8</v>
      </c>
      <c r="K24" s="20">
        <v>3732642.4</v>
      </c>
      <c r="L24" s="20">
        <v>3881948.1</v>
      </c>
      <c r="M24" s="20">
        <v>4037226</v>
      </c>
      <c r="N24" s="20">
        <v>4198715.0999999996</v>
      </c>
      <c r="O24" s="20">
        <v>0</v>
      </c>
      <c r="P24" s="160">
        <f t="shared" si="2"/>
        <v>38639102.899999999</v>
      </c>
    </row>
    <row r="25" spans="1:16" s="15" customFormat="1" ht="14.25" customHeight="1">
      <c r="A25" s="479"/>
      <c r="B25" s="479"/>
      <c r="C25" s="482"/>
      <c r="D25" s="19" t="s">
        <v>441</v>
      </c>
      <c r="E25" s="20">
        <v>3796137.6</v>
      </c>
      <c r="F25" s="20">
        <v>4030027.5</v>
      </c>
      <c r="G25" s="20">
        <v>3659543.8</v>
      </c>
      <c r="H25" s="20">
        <v>3853914</v>
      </c>
      <c r="I25" s="20">
        <v>3722080.6</v>
      </c>
      <c r="J25" s="20">
        <v>3726867.8</v>
      </c>
      <c r="K25" s="20">
        <v>3732642.4</v>
      </c>
      <c r="L25" s="20">
        <v>3881948.1</v>
      </c>
      <c r="M25" s="20">
        <v>4037226</v>
      </c>
      <c r="N25" s="20">
        <v>4198715.0999999996</v>
      </c>
      <c r="O25" s="20">
        <v>0</v>
      </c>
      <c r="P25" s="160">
        <f t="shared" si="2"/>
        <v>38639102.899999999</v>
      </c>
    </row>
    <row r="26" spans="1:16" s="15" customFormat="1">
      <c r="A26" s="479"/>
      <c r="B26" s="479"/>
      <c r="C26" s="482"/>
      <c r="D26" s="19" t="s">
        <v>463</v>
      </c>
      <c r="E26" s="20">
        <v>0</v>
      </c>
      <c r="F26" s="20">
        <v>0</v>
      </c>
      <c r="G26" s="20">
        <v>10309.4</v>
      </c>
      <c r="H26" s="20">
        <v>9433.7999999999993</v>
      </c>
      <c r="I26" s="20">
        <v>6924.2</v>
      </c>
      <c r="J26" s="20">
        <v>6636.2</v>
      </c>
      <c r="K26" s="20">
        <v>6505.7</v>
      </c>
      <c r="L26" s="20">
        <v>6765.9</v>
      </c>
      <c r="M26" s="20">
        <v>7036.6</v>
      </c>
      <c r="N26" s="20">
        <v>7318</v>
      </c>
      <c r="O26" s="20">
        <v>0</v>
      </c>
      <c r="P26" s="160">
        <f t="shared" si="2"/>
        <v>60929.799999999996</v>
      </c>
    </row>
    <row r="27" spans="1:16" s="15" customFormat="1">
      <c r="A27" s="479"/>
      <c r="B27" s="479"/>
      <c r="C27" s="482"/>
      <c r="D27" s="19" t="s">
        <v>442</v>
      </c>
      <c r="E27" s="20">
        <v>2067131.5</v>
      </c>
      <c r="F27" s="20">
        <v>1758952.2</v>
      </c>
      <c r="G27" s="20">
        <v>1319982</v>
      </c>
      <c r="H27" s="20">
        <v>1436242.2</v>
      </c>
      <c r="I27" s="20">
        <v>1265974.1000000001</v>
      </c>
      <c r="J27" s="20">
        <v>1273309.1000000001</v>
      </c>
      <c r="K27" s="20">
        <v>1279214.2</v>
      </c>
      <c r="L27" s="20">
        <v>1330382.8</v>
      </c>
      <c r="M27" s="20">
        <v>1383598.1</v>
      </c>
      <c r="N27" s="20">
        <v>1438942</v>
      </c>
      <c r="O27" s="20">
        <v>0</v>
      </c>
      <c r="P27" s="160">
        <f t="shared" si="2"/>
        <v>14553728.199999999</v>
      </c>
    </row>
    <row r="28" spans="1:16" s="15" customFormat="1" ht="30">
      <c r="A28" s="479"/>
      <c r="B28" s="479"/>
      <c r="C28" s="482"/>
      <c r="D28" s="19" t="s">
        <v>455</v>
      </c>
      <c r="E28" s="20">
        <v>0</v>
      </c>
      <c r="F28" s="20">
        <v>0</v>
      </c>
      <c r="G28" s="20">
        <v>0</v>
      </c>
      <c r="H28" s="20">
        <v>0</v>
      </c>
      <c r="I28" s="20">
        <v>0</v>
      </c>
      <c r="J28" s="20">
        <v>0</v>
      </c>
      <c r="K28" s="20">
        <v>0</v>
      </c>
      <c r="L28" s="20">
        <v>0</v>
      </c>
      <c r="M28" s="20">
        <v>0</v>
      </c>
      <c r="N28" s="20">
        <v>0</v>
      </c>
      <c r="O28" s="20">
        <v>0</v>
      </c>
      <c r="P28" s="160">
        <f t="shared" si="2"/>
        <v>0</v>
      </c>
    </row>
    <row r="29" spans="1:16" s="15" customFormat="1" ht="30">
      <c r="A29" s="479"/>
      <c r="B29" s="479"/>
      <c r="C29" s="482"/>
      <c r="D29" s="19" t="s">
        <v>443</v>
      </c>
      <c r="E29" s="20">
        <v>0</v>
      </c>
      <c r="F29" s="20">
        <v>0</v>
      </c>
      <c r="G29" s="20">
        <v>0</v>
      </c>
      <c r="H29" s="20">
        <v>0</v>
      </c>
      <c r="I29" s="20">
        <v>0</v>
      </c>
      <c r="J29" s="20">
        <v>0</v>
      </c>
      <c r="K29" s="20">
        <v>0</v>
      </c>
      <c r="L29" s="20">
        <v>0</v>
      </c>
      <c r="M29" s="20">
        <v>0</v>
      </c>
      <c r="N29" s="20">
        <v>0</v>
      </c>
      <c r="O29" s="20">
        <v>0</v>
      </c>
      <c r="P29" s="160">
        <f t="shared" si="2"/>
        <v>0</v>
      </c>
    </row>
    <row r="30" spans="1:16" s="15" customFormat="1" ht="45">
      <c r="A30" s="479"/>
      <c r="B30" s="479"/>
      <c r="C30" s="482"/>
      <c r="D30" s="19" t="s">
        <v>444</v>
      </c>
      <c r="E30" s="20">
        <v>0</v>
      </c>
      <c r="F30" s="20">
        <v>0</v>
      </c>
      <c r="G30" s="20">
        <v>0</v>
      </c>
      <c r="H30" s="20">
        <v>0</v>
      </c>
      <c r="I30" s="20">
        <v>0</v>
      </c>
      <c r="J30" s="20">
        <v>0</v>
      </c>
      <c r="K30" s="20">
        <v>0</v>
      </c>
      <c r="L30" s="20">
        <v>0</v>
      </c>
      <c r="M30" s="20">
        <v>0</v>
      </c>
      <c r="N30" s="20">
        <v>0</v>
      </c>
      <c r="O30" s="20">
        <v>0</v>
      </c>
      <c r="P30" s="160">
        <f t="shared" si="2"/>
        <v>0</v>
      </c>
    </row>
    <row r="31" spans="1:16" s="15" customFormat="1" ht="30">
      <c r="A31" s="479"/>
      <c r="B31" s="479"/>
      <c r="C31" s="482"/>
      <c r="D31" s="19" t="s">
        <v>445</v>
      </c>
      <c r="E31" s="20">
        <v>0</v>
      </c>
      <c r="F31" s="20">
        <v>0</v>
      </c>
      <c r="G31" s="20">
        <v>0</v>
      </c>
      <c r="H31" s="20">
        <v>0</v>
      </c>
      <c r="I31" s="20">
        <v>0</v>
      </c>
      <c r="J31" s="20">
        <v>0</v>
      </c>
      <c r="K31" s="20">
        <v>0</v>
      </c>
      <c r="L31" s="20">
        <v>0</v>
      </c>
      <c r="M31" s="20">
        <v>0</v>
      </c>
      <c r="N31" s="20">
        <v>0</v>
      </c>
      <c r="O31" s="20">
        <v>0</v>
      </c>
      <c r="P31" s="160">
        <f t="shared" si="2"/>
        <v>0</v>
      </c>
    </row>
    <row r="32" spans="1:16" s="15" customFormat="1">
      <c r="A32" s="480"/>
      <c r="B32" s="480"/>
      <c r="C32" s="483"/>
      <c r="D32" s="19" t="s">
        <v>446</v>
      </c>
      <c r="E32" s="20">
        <v>0</v>
      </c>
      <c r="F32" s="20">
        <v>0</v>
      </c>
      <c r="G32" s="20">
        <v>0</v>
      </c>
      <c r="H32" s="20">
        <v>0</v>
      </c>
      <c r="I32" s="20">
        <v>0</v>
      </c>
      <c r="J32" s="20">
        <v>0</v>
      </c>
      <c r="K32" s="20">
        <v>0</v>
      </c>
      <c r="L32" s="20">
        <v>0</v>
      </c>
      <c r="M32" s="20">
        <v>0</v>
      </c>
      <c r="N32" s="20">
        <v>0</v>
      </c>
      <c r="O32" s="20">
        <v>0</v>
      </c>
      <c r="P32" s="160">
        <f t="shared" si="2"/>
        <v>0</v>
      </c>
    </row>
    <row r="33" spans="1:16" s="15" customFormat="1">
      <c r="A33" s="478" t="s">
        <v>10</v>
      </c>
      <c r="B33" s="478" t="s">
        <v>76</v>
      </c>
      <c r="C33" s="468" t="s">
        <v>448</v>
      </c>
      <c r="D33" s="19" t="s">
        <v>440</v>
      </c>
      <c r="E33" s="20">
        <v>1950521.9</v>
      </c>
      <c r="F33" s="20">
        <v>1660232.8</v>
      </c>
      <c r="G33" s="20">
        <v>1606069.3</v>
      </c>
      <c r="H33" s="20">
        <v>1908793</v>
      </c>
      <c r="I33" s="20">
        <v>2994446.1</v>
      </c>
      <c r="J33" s="20">
        <v>2830485.6</v>
      </c>
      <c r="K33" s="20">
        <v>2842277.8</v>
      </c>
      <c r="L33" s="20">
        <v>2955968.9</v>
      </c>
      <c r="M33" s="20">
        <v>3074207.7</v>
      </c>
      <c r="N33" s="20">
        <v>3197176</v>
      </c>
      <c r="O33" s="20">
        <v>0</v>
      </c>
      <c r="P33" s="160">
        <f t="shared" si="2"/>
        <v>25020179.099999998</v>
      </c>
    </row>
    <row r="34" spans="1:16" s="15" customFormat="1" ht="17.25" customHeight="1">
      <c r="A34" s="479"/>
      <c r="B34" s="479"/>
      <c r="C34" s="468"/>
      <c r="D34" s="19" t="s">
        <v>441</v>
      </c>
      <c r="E34" s="20">
        <v>1950521.9</v>
      </c>
      <c r="F34" s="20">
        <v>1660232.8</v>
      </c>
      <c r="G34" s="20">
        <v>1606069.3</v>
      </c>
      <c r="H34" s="20">
        <v>1908793</v>
      </c>
      <c r="I34" s="20">
        <v>2994446.1</v>
      </c>
      <c r="J34" s="20">
        <v>2830485.6</v>
      </c>
      <c r="K34" s="20">
        <v>2842277.8</v>
      </c>
      <c r="L34" s="20">
        <v>2955968.9</v>
      </c>
      <c r="M34" s="20">
        <v>3074207.7</v>
      </c>
      <c r="N34" s="20">
        <v>3197176</v>
      </c>
      <c r="O34" s="20">
        <v>0</v>
      </c>
      <c r="P34" s="160">
        <f t="shared" si="2"/>
        <v>25020179.099999998</v>
      </c>
    </row>
    <row r="35" spans="1:16" s="15" customFormat="1">
      <c r="A35" s="479"/>
      <c r="B35" s="479"/>
      <c r="C35" s="468"/>
      <c r="D35" s="19" t="s">
        <v>463</v>
      </c>
      <c r="E35" s="20">
        <v>0</v>
      </c>
      <c r="F35" s="20">
        <v>0</v>
      </c>
      <c r="G35" s="20">
        <v>0</v>
      </c>
      <c r="H35" s="20">
        <v>64804.1</v>
      </c>
      <c r="I35" s="20">
        <v>330580.2</v>
      </c>
      <c r="J35" s="20">
        <v>0</v>
      </c>
      <c r="K35" s="20">
        <v>0</v>
      </c>
      <c r="L35" s="20">
        <v>0</v>
      </c>
      <c r="M35" s="20">
        <v>0</v>
      </c>
      <c r="N35" s="20">
        <v>0</v>
      </c>
      <c r="O35" s="20">
        <v>0</v>
      </c>
      <c r="P35" s="160">
        <f t="shared" si="2"/>
        <v>395384.3</v>
      </c>
    </row>
    <row r="36" spans="1:16" s="15" customFormat="1">
      <c r="A36" s="479"/>
      <c r="B36" s="479"/>
      <c r="C36" s="468"/>
      <c r="D36" s="19" t="s">
        <v>442</v>
      </c>
      <c r="E36" s="20">
        <v>611691.4</v>
      </c>
      <c r="F36" s="20">
        <v>615272.6</v>
      </c>
      <c r="G36" s="20">
        <v>599277.1</v>
      </c>
      <c r="H36" s="20">
        <v>730164.8</v>
      </c>
      <c r="I36" s="20">
        <v>1496487.9</v>
      </c>
      <c r="J36" s="20">
        <v>1619213.6</v>
      </c>
      <c r="K36" s="20">
        <v>1665963.7</v>
      </c>
      <c r="L36" s="20">
        <v>1732602.2</v>
      </c>
      <c r="M36" s="20">
        <v>1801906.3</v>
      </c>
      <c r="N36" s="20">
        <v>1873982.6</v>
      </c>
      <c r="O36" s="20">
        <v>0</v>
      </c>
      <c r="P36" s="160">
        <f t="shared" si="2"/>
        <v>12746562.200000001</v>
      </c>
    </row>
    <row r="37" spans="1:16" s="15" customFormat="1" ht="30">
      <c r="A37" s="479"/>
      <c r="B37" s="479"/>
      <c r="C37" s="468"/>
      <c r="D37" s="19" t="s">
        <v>455</v>
      </c>
      <c r="E37" s="20">
        <v>0</v>
      </c>
      <c r="F37" s="20">
        <v>0</v>
      </c>
      <c r="G37" s="20">
        <v>0</v>
      </c>
      <c r="H37" s="20">
        <v>0</v>
      </c>
      <c r="I37" s="20">
        <v>0</v>
      </c>
      <c r="J37" s="20">
        <v>0</v>
      </c>
      <c r="K37" s="20">
        <v>0</v>
      </c>
      <c r="L37" s="20">
        <v>0</v>
      </c>
      <c r="M37" s="20">
        <v>0</v>
      </c>
      <c r="N37" s="20">
        <v>0</v>
      </c>
      <c r="O37" s="20">
        <v>0</v>
      </c>
      <c r="P37" s="160">
        <f t="shared" si="2"/>
        <v>0</v>
      </c>
    </row>
    <row r="38" spans="1:16" s="15" customFormat="1" ht="30">
      <c r="A38" s="479"/>
      <c r="B38" s="479"/>
      <c r="C38" s="468"/>
      <c r="D38" s="19" t="s">
        <v>443</v>
      </c>
      <c r="E38" s="20">
        <v>0</v>
      </c>
      <c r="F38" s="20">
        <v>0</v>
      </c>
      <c r="G38" s="20">
        <v>0</v>
      </c>
      <c r="H38" s="20">
        <v>0</v>
      </c>
      <c r="I38" s="20">
        <v>0</v>
      </c>
      <c r="J38" s="20">
        <v>0</v>
      </c>
      <c r="K38" s="20">
        <v>0</v>
      </c>
      <c r="L38" s="20">
        <v>0</v>
      </c>
      <c r="M38" s="20">
        <v>0</v>
      </c>
      <c r="N38" s="20">
        <v>0</v>
      </c>
      <c r="O38" s="20">
        <v>0</v>
      </c>
      <c r="P38" s="160">
        <f t="shared" si="2"/>
        <v>0</v>
      </c>
    </row>
    <row r="39" spans="1:16" s="15" customFormat="1" ht="45">
      <c r="A39" s="479"/>
      <c r="B39" s="479"/>
      <c r="C39" s="468"/>
      <c r="D39" s="19" t="s">
        <v>444</v>
      </c>
      <c r="E39" s="20">
        <v>0</v>
      </c>
      <c r="F39" s="20">
        <v>0</v>
      </c>
      <c r="G39" s="20">
        <v>0</v>
      </c>
      <c r="H39" s="20">
        <v>0</v>
      </c>
      <c r="I39" s="20">
        <v>0</v>
      </c>
      <c r="J39" s="20">
        <v>0</v>
      </c>
      <c r="K39" s="20">
        <v>0</v>
      </c>
      <c r="L39" s="20">
        <v>0</v>
      </c>
      <c r="M39" s="20">
        <v>0</v>
      </c>
      <c r="N39" s="20">
        <v>0</v>
      </c>
      <c r="O39" s="20">
        <v>0</v>
      </c>
      <c r="P39" s="160">
        <f t="shared" si="2"/>
        <v>0</v>
      </c>
    </row>
    <row r="40" spans="1:16" s="15" customFormat="1" ht="30">
      <c r="A40" s="479"/>
      <c r="B40" s="479"/>
      <c r="C40" s="468"/>
      <c r="D40" s="19" t="s">
        <v>445</v>
      </c>
      <c r="E40" s="20">
        <v>0</v>
      </c>
      <c r="F40" s="20">
        <v>0</v>
      </c>
      <c r="G40" s="20">
        <v>0</v>
      </c>
      <c r="H40" s="20">
        <v>0</v>
      </c>
      <c r="I40" s="20">
        <v>0</v>
      </c>
      <c r="J40" s="20">
        <v>0</v>
      </c>
      <c r="K40" s="20">
        <v>0</v>
      </c>
      <c r="L40" s="20">
        <v>0</v>
      </c>
      <c r="M40" s="20">
        <v>0</v>
      </c>
      <c r="N40" s="20">
        <v>0</v>
      </c>
      <c r="O40" s="20">
        <v>0</v>
      </c>
      <c r="P40" s="160">
        <f t="shared" si="2"/>
        <v>0</v>
      </c>
    </row>
    <row r="41" spans="1:16" s="15" customFormat="1">
      <c r="A41" s="480"/>
      <c r="B41" s="480"/>
      <c r="C41" s="468"/>
      <c r="D41" s="19" t="s">
        <v>446</v>
      </c>
      <c r="E41" s="20">
        <v>0</v>
      </c>
      <c r="F41" s="20">
        <v>0</v>
      </c>
      <c r="G41" s="20">
        <v>0</v>
      </c>
      <c r="H41" s="20">
        <v>0</v>
      </c>
      <c r="I41" s="20">
        <v>0</v>
      </c>
      <c r="J41" s="20">
        <v>0</v>
      </c>
      <c r="K41" s="20">
        <v>0</v>
      </c>
      <c r="L41" s="20">
        <v>0</v>
      </c>
      <c r="M41" s="20">
        <v>0</v>
      </c>
      <c r="N41" s="20">
        <v>0</v>
      </c>
      <c r="O41" s="20">
        <v>0</v>
      </c>
      <c r="P41" s="160">
        <f t="shared" si="2"/>
        <v>0</v>
      </c>
    </row>
    <row r="42" spans="1:16" s="15" customFormat="1" ht="15" customHeight="1">
      <c r="A42" s="478" t="s">
        <v>10</v>
      </c>
      <c r="B42" s="478" t="s">
        <v>111</v>
      </c>
      <c r="C42" s="481" t="s">
        <v>449</v>
      </c>
      <c r="D42" s="19" t="s">
        <v>440</v>
      </c>
      <c r="E42" s="20">
        <v>1614713.4</v>
      </c>
      <c r="F42" s="20">
        <v>1774189.2</v>
      </c>
      <c r="G42" s="20">
        <v>2149396.5</v>
      </c>
      <c r="H42" s="20">
        <v>2489842.6</v>
      </c>
      <c r="I42" s="20">
        <v>2212576.5</v>
      </c>
      <c r="J42" s="20">
        <v>2115367.7999999998</v>
      </c>
      <c r="K42" s="20">
        <v>2115367.7999999998</v>
      </c>
      <c r="L42" s="20">
        <v>2199982.5</v>
      </c>
      <c r="M42" s="20">
        <v>2287981.7999999998</v>
      </c>
      <c r="N42" s="20">
        <v>2379501.1</v>
      </c>
      <c r="O42" s="20">
        <v>0</v>
      </c>
      <c r="P42" s="160">
        <f t="shared" si="2"/>
        <v>21338919.200000003</v>
      </c>
    </row>
    <row r="43" spans="1:16" s="15" customFormat="1" ht="18" customHeight="1">
      <c r="A43" s="479"/>
      <c r="B43" s="479"/>
      <c r="C43" s="482"/>
      <c r="D43" s="19" t="s">
        <v>441</v>
      </c>
      <c r="E43" s="20">
        <v>1608778</v>
      </c>
      <c r="F43" s="20">
        <v>1759183.7</v>
      </c>
      <c r="G43" s="20">
        <v>2144201.6</v>
      </c>
      <c r="H43" s="20">
        <v>2489842.6</v>
      </c>
      <c r="I43" s="20">
        <v>2212576.5</v>
      </c>
      <c r="J43" s="20">
        <v>2115367.7999999998</v>
      </c>
      <c r="K43" s="20">
        <v>2115367.7999999998</v>
      </c>
      <c r="L43" s="20">
        <v>2199982.5</v>
      </c>
      <c r="M43" s="20">
        <v>2287981.7999999998</v>
      </c>
      <c r="N43" s="20">
        <v>2379501.1</v>
      </c>
      <c r="O43" s="20">
        <v>0</v>
      </c>
      <c r="P43" s="160">
        <f t="shared" si="2"/>
        <v>21312783.400000002</v>
      </c>
    </row>
    <row r="44" spans="1:16">
      <c r="A44" s="480"/>
      <c r="B44" s="480"/>
      <c r="C44" s="483"/>
      <c r="D44" s="19" t="s">
        <v>463</v>
      </c>
      <c r="E44" s="20">
        <v>0</v>
      </c>
      <c r="F44" s="20">
        <v>24823.200000000001</v>
      </c>
      <c r="G44" s="20">
        <v>185185.2</v>
      </c>
      <c r="H44" s="20">
        <v>3303.3</v>
      </c>
      <c r="I44" s="20">
        <v>0</v>
      </c>
      <c r="J44" s="20">
        <v>0</v>
      </c>
      <c r="K44" s="20">
        <v>0</v>
      </c>
      <c r="L44" s="20">
        <v>0</v>
      </c>
      <c r="M44" s="20">
        <v>0</v>
      </c>
      <c r="N44" s="20">
        <v>0</v>
      </c>
      <c r="O44" s="20">
        <v>0</v>
      </c>
      <c r="P44" s="160">
        <f t="shared" si="2"/>
        <v>213311.7</v>
      </c>
    </row>
    <row r="45" spans="1:16">
      <c r="A45" s="343"/>
      <c r="B45" s="343"/>
      <c r="C45" s="341"/>
      <c r="D45" s="19" t="s">
        <v>442</v>
      </c>
      <c r="E45" s="20">
        <v>0</v>
      </c>
      <c r="F45" s="20">
        <v>0</v>
      </c>
      <c r="G45" s="20">
        <v>0</v>
      </c>
      <c r="H45" s="20">
        <v>0</v>
      </c>
      <c r="I45" s="20">
        <v>0</v>
      </c>
      <c r="J45" s="20">
        <v>0</v>
      </c>
      <c r="K45" s="20">
        <v>0</v>
      </c>
      <c r="L45" s="20">
        <v>0</v>
      </c>
      <c r="M45" s="20">
        <v>0</v>
      </c>
      <c r="N45" s="20">
        <v>0</v>
      </c>
      <c r="O45" s="20">
        <v>0</v>
      </c>
      <c r="P45" s="160">
        <f t="shared" si="2"/>
        <v>0</v>
      </c>
    </row>
    <row r="46" spans="1:16" ht="30">
      <c r="A46" s="343"/>
      <c r="B46" s="343"/>
      <c r="C46" s="341"/>
      <c r="D46" s="19" t="s">
        <v>455</v>
      </c>
      <c r="E46" s="20">
        <v>0</v>
      </c>
      <c r="F46" s="20">
        <v>0</v>
      </c>
      <c r="G46" s="20">
        <v>0</v>
      </c>
      <c r="H46" s="20">
        <v>0</v>
      </c>
      <c r="I46" s="20">
        <v>39900</v>
      </c>
      <c r="J46" s="20">
        <v>0</v>
      </c>
      <c r="K46" s="20">
        <v>0</v>
      </c>
      <c r="L46" s="20">
        <v>0</v>
      </c>
      <c r="M46" s="20">
        <v>0</v>
      </c>
      <c r="N46" s="20">
        <v>0</v>
      </c>
      <c r="O46" s="20">
        <v>0</v>
      </c>
      <c r="P46" s="160">
        <f t="shared" si="2"/>
        <v>39900</v>
      </c>
    </row>
    <row r="47" spans="1:16" ht="30">
      <c r="A47" s="343"/>
      <c r="B47" s="343"/>
      <c r="C47" s="341"/>
      <c r="D47" s="19" t="s">
        <v>443</v>
      </c>
      <c r="E47" s="20">
        <v>0</v>
      </c>
      <c r="F47" s="20">
        <v>0</v>
      </c>
      <c r="G47" s="20">
        <v>0</v>
      </c>
      <c r="H47" s="20">
        <v>0</v>
      </c>
      <c r="I47" s="20">
        <v>0</v>
      </c>
      <c r="J47" s="20">
        <v>0</v>
      </c>
      <c r="K47" s="20">
        <v>0</v>
      </c>
      <c r="L47" s="20">
        <v>0</v>
      </c>
      <c r="M47" s="20">
        <v>0</v>
      </c>
      <c r="N47" s="20">
        <v>0</v>
      </c>
      <c r="O47" s="20">
        <v>0</v>
      </c>
      <c r="P47" s="160">
        <f t="shared" si="2"/>
        <v>0</v>
      </c>
    </row>
    <row r="48" spans="1:16" ht="45">
      <c r="A48" s="343"/>
      <c r="B48" s="343"/>
      <c r="C48" s="341"/>
      <c r="D48" s="19" t="s">
        <v>444</v>
      </c>
      <c r="E48" s="20">
        <v>0</v>
      </c>
      <c r="F48" s="20">
        <v>0</v>
      </c>
      <c r="G48" s="20">
        <v>0</v>
      </c>
      <c r="H48" s="20">
        <v>0</v>
      </c>
      <c r="I48" s="20">
        <v>0</v>
      </c>
      <c r="J48" s="20">
        <v>0</v>
      </c>
      <c r="K48" s="20">
        <v>0</v>
      </c>
      <c r="L48" s="20">
        <v>0</v>
      </c>
      <c r="M48" s="20">
        <v>0</v>
      </c>
      <c r="N48" s="20">
        <v>0</v>
      </c>
      <c r="O48" s="20">
        <v>0</v>
      </c>
      <c r="P48" s="160">
        <f t="shared" si="2"/>
        <v>0</v>
      </c>
    </row>
    <row r="49" spans="1:16" s="24" customFormat="1" ht="30">
      <c r="A49" s="343"/>
      <c r="B49" s="343"/>
      <c r="C49" s="341"/>
      <c r="D49" s="19" t="s">
        <v>445</v>
      </c>
      <c r="E49" s="20">
        <v>5935.4</v>
      </c>
      <c r="F49" s="20">
        <v>847.1</v>
      </c>
      <c r="G49" s="20">
        <v>0</v>
      </c>
      <c r="H49" s="20">
        <v>0</v>
      </c>
      <c r="I49" s="20">
        <v>0</v>
      </c>
      <c r="J49" s="20">
        <v>0</v>
      </c>
      <c r="K49" s="20">
        <v>0</v>
      </c>
      <c r="L49" s="20">
        <v>0</v>
      </c>
      <c r="M49" s="20">
        <v>0</v>
      </c>
      <c r="N49" s="20">
        <v>0</v>
      </c>
      <c r="O49" s="20">
        <v>0</v>
      </c>
      <c r="P49" s="160">
        <f t="shared" si="2"/>
        <v>6782.5</v>
      </c>
    </row>
    <row r="50" spans="1:16">
      <c r="A50" s="344"/>
      <c r="B50" s="344"/>
      <c r="C50" s="342"/>
      <c r="D50" s="19" t="s">
        <v>446</v>
      </c>
      <c r="E50" s="20">
        <v>0</v>
      </c>
      <c r="F50" s="20">
        <v>14158.4</v>
      </c>
      <c r="G50" s="20">
        <v>5194.8999999999996</v>
      </c>
      <c r="H50" s="20">
        <v>0</v>
      </c>
      <c r="I50" s="20">
        <v>0</v>
      </c>
      <c r="J50" s="20">
        <v>0</v>
      </c>
      <c r="K50" s="20">
        <v>0</v>
      </c>
      <c r="L50" s="20">
        <v>0</v>
      </c>
      <c r="M50" s="20">
        <v>0</v>
      </c>
      <c r="N50" s="20">
        <v>0</v>
      </c>
      <c r="O50" s="20">
        <v>0</v>
      </c>
      <c r="P50" s="160">
        <f t="shared" si="2"/>
        <v>19353.3</v>
      </c>
    </row>
    <row r="51" spans="1:16">
      <c r="A51" s="478" t="s">
        <v>10</v>
      </c>
      <c r="B51" s="478" t="s">
        <v>151</v>
      </c>
      <c r="C51" s="468" t="s">
        <v>450</v>
      </c>
      <c r="D51" s="19" t="s">
        <v>440</v>
      </c>
      <c r="E51" s="20">
        <v>329578</v>
      </c>
      <c r="F51" s="20">
        <v>367467.8</v>
      </c>
      <c r="G51" s="20">
        <v>329883.5</v>
      </c>
      <c r="H51" s="20">
        <v>419057.2</v>
      </c>
      <c r="I51" s="20">
        <v>354898.3</v>
      </c>
      <c r="J51" s="20">
        <v>346722.8</v>
      </c>
      <c r="K51" s="20">
        <v>346722.8</v>
      </c>
      <c r="L51" s="20">
        <v>360591.7</v>
      </c>
      <c r="M51" s="20">
        <v>375015.4</v>
      </c>
      <c r="N51" s="20">
        <v>390016</v>
      </c>
      <c r="O51" s="20">
        <v>0</v>
      </c>
      <c r="P51" s="160">
        <f t="shared" si="2"/>
        <v>3619953.5</v>
      </c>
    </row>
    <row r="52" spans="1:16" ht="21.75" customHeight="1">
      <c r="A52" s="479"/>
      <c r="B52" s="479"/>
      <c r="C52" s="468"/>
      <c r="D52" s="19" t="s">
        <v>441</v>
      </c>
      <c r="E52" s="20">
        <v>329578</v>
      </c>
      <c r="F52" s="20">
        <v>367467.8</v>
      </c>
      <c r="G52" s="20">
        <v>329883.5</v>
      </c>
      <c r="H52" s="20">
        <v>419057.2</v>
      </c>
      <c r="I52" s="20">
        <v>354898.3</v>
      </c>
      <c r="J52" s="20">
        <v>346722.8</v>
      </c>
      <c r="K52" s="20">
        <v>346722.8</v>
      </c>
      <c r="L52" s="20">
        <v>360591.7</v>
      </c>
      <c r="M52" s="20">
        <v>375015.4</v>
      </c>
      <c r="N52" s="20">
        <v>390016</v>
      </c>
      <c r="O52" s="20">
        <v>0</v>
      </c>
      <c r="P52" s="160">
        <f t="shared" si="2"/>
        <v>3619953.5</v>
      </c>
    </row>
    <row r="53" spans="1:16">
      <c r="A53" s="479"/>
      <c r="B53" s="479"/>
      <c r="C53" s="468"/>
      <c r="D53" s="19" t="s">
        <v>463</v>
      </c>
      <c r="E53" s="20">
        <v>0</v>
      </c>
      <c r="F53" s="20">
        <v>0</v>
      </c>
      <c r="G53" s="20">
        <v>0</v>
      </c>
      <c r="H53" s="20">
        <v>0</v>
      </c>
      <c r="I53" s="20">
        <v>0</v>
      </c>
      <c r="J53" s="20">
        <v>0</v>
      </c>
      <c r="K53" s="20">
        <v>0</v>
      </c>
      <c r="L53" s="20">
        <v>0</v>
      </c>
      <c r="M53" s="20">
        <v>0</v>
      </c>
      <c r="N53" s="20">
        <v>0</v>
      </c>
      <c r="O53" s="20">
        <v>0</v>
      </c>
      <c r="P53" s="160">
        <f t="shared" si="2"/>
        <v>0</v>
      </c>
    </row>
    <row r="54" spans="1:16">
      <c r="A54" s="479"/>
      <c r="B54" s="479"/>
      <c r="C54" s="468"/>
      <c r="D54" s="19" t="s">
        <v>442</v>
      </c>
      <c r="E54" s="20">
        <v>0</v>
      </c>
      <c r="F54" s="20">
        <v>0</v>
      </c>
      <c r="G54" s="20">
        <v>0</v>
      </c>
      <c r="H54" s="20">
        <v>0</v>
      </c>
      <c r="I54" s="20">
        <v>0</v>
      </c>
      <c r="J54" s="20">
        <v>0</v>
      </c>
      <c r="K54" s="20">
        <v>0</v>
      </c>
      <c r="L54" s="20">
        <v>0</v>
      </c>
      <c r="M54" s="20">
        <v>0</v>
      </c>
      <c r="N54" s="20">
        <v>0</v>
      </c>
      <c r="O54" s="20">
        <v>0</v>
      </c>
      <c r="P54" s="160">
        <f t="shared" si="2"/>
        <v>0</v>
      </c>
    </row>
    <row r="55" spans="1:16" ht="30">
      <c r="A55" s="479"/>
      <c r="B55" s="479"/>
      <c r="C55" s="468"/>
      <c r="D55" s="19" t="s">
        <v>455</v>
      </c>
      <c r="E55" s="20">
        <v>0</v>
      </c>
      <c r="F55" s="20">
        <v>0</v>
      </c>
      <c r="G55" s="20">
        <v>0</v>
      </c>
      <c r="H55" s="20">
        <v>0</v>
      </c>
      <c r="I55" s="20">
        <v>0</v>
      </c>
      <c r="J55" s="20">
        <v>0</v>
      </c>
      <c r="K55" s="20">
        <v>0</v>
      </c>
      <c r="L55" s="20">
        <v>0</v>
      </c>
      <c r="M55" s="20">
        <v>0</v>
      </c>
      <c r="N55" s="20">
        <v>0</v>
      </c>
      <c r="O55" s="20">
        <v>0</v>
      </c>
      <c r="P55" s="160">
        <f t="shared" si="2"/>
        <v>0</v>
      </c>
    </row>
    <row r="56" spans="1:16" ht="30">
      <c r="A56" s="479"/>
      <c r="B56" s="479"/>
      <c r="C56" s="468"/>
      <c r="D56" s="19" t="s">
        <v>443</v>
      </c>
      <c r="E56" s="20">
        <v>0</v>
      </c>
      <c r="F56" s="20">
        <v>0</v>
      </c>
      <c r="G56" s="20">
        <v>0</v>
      </c>
      <c r="H56" s="20">
        <v>0</v>
      </c>
      <c r="I56" s="20">
        <v>0</v>
      </c>
      <c r="J56" s="20">
        <v>0</v>
      </c>
      <c r="K56" s="20">
        <v>0</v>
      </c>
      <c r="L56" s="20">
        <v>0</v>
      </c>
      <c r="M56" s="20">
        <v>0</v>
      </c>
      <c r="N56" s="20">
        <v>0</v>
      </c>
      <c r="O56" s="20">
        <v>0</v>
      </c>
      <c r="P56" s="160">
        <f t="shared" si="2"/>
        <v>0</v>
      </c>
    </row>
    <row r="57" spans="1:16" ht="45">
      <c r="A57" s="479"/>
      <c r="B57" s="479"/>
      <c r="C57" s="468"/>
      <c r="D57" s="19" t="s">
        <v>444</v>
      </c>
      <c r="E57" s="20">
        <v>0</v>
      </c>
      <c r="F57" s="20">
        <v>0</v>
      </c>
      <c r="G57" s="20">
        <v>0</v>
      </c>
      <c r="H57" s="20">
        <v>0</v>
      </c>
      <c r="I57" s="20">
        <v>0</v>
      </c>
      <c r="J57" s="20">
        <v>0</v>
      </c>
      <c r="K57" s="20">
        <v>0</v>
      </c>
      <c r="L57" s="20">
        <v>0</v>
      </c>
      <c r="M57" s="20">
        <v>0</v>
      </c>
      <c r="N57" s="20">
        <v>0</v>
      </c>
      <c r="O57" s="20">
        <v>0</v>
      </c>
      <c r="P57" s="160">
        <f t="shared" si="2"/>
        <v>0</v>
      </c>
    </row>
    <row r="58" spans="1:16" ht="30">
      <c r="A58" s="479"/>
      <c r="B58" s="479"/>
      <c r="C58" s="468"/>
      <c r="D58" s="19" t="s">
        <v>445</v>
      </c>
      <c r="E58" s="20">
        <v>0</v>
      </c>
      <c r="F58" s="20">
        <v>0</v>
      </c>
      <c r="G58" s="20">
        <v>0</v>
      </c>
      <c r="H58" s="20">
        <v>0</v>
      </c>
      <c r="I58" s="20">
        <v>0</v>
      </c>
      <c r="J58" s="20">
        <v>0</v>
      </c>
      <c r="K58" s="20">
        <v>0</v>
      </c>
      <c r="L58" s="20">
        <v>0</v>
      </c>
      <c r="M58" s="20">
        <v>0</v>
      </c>
      <c r="N58" s="20">
        <v>0</v>
      </c>
      <c r="O58" s="20">
        <v>0</v>
      </c>
      <c r="P58" s="160">
        <f t="shared" si="2"/>
        <v>0</v>
      </c>
    </row>
    <row r="59" spans="1:16">
      <c r="A59" s="480"/>
      <c r="B59" s="480"/>
      <c r="C59" s="468"/>
      <c r="D59" s="19" t="s">
        <v>446</v>
      </c>
      <c r="E59" s="20">
        <v>0</v>
      </c>
      <c r="F59" s="20">
        <v>0</v>
      </c>
      <c r="G59" s="20">
        <v>0</v>
      </c>
      <c r="H59" s="20">
        <v>0</v>
      </c>
      <c r="I59" s="20">
        <v>0</v>
      </c>
      <c r="J59" s="20">
        <v>0</v>
      </c>
      <c r="K59" s="20">
        <v>0</v>
      </c>
      <c r="L59" s="20">
        <v>0</v>
      </c>
      <c r="M59" s="20">
        <v>0</v>
      </c>
      <c r="N59" s="20">
        <v>0</v>
      </c>
      <c r="O59" s="20">
        <v>0</v>
      </c>
      <c r="P59" s="160">
        <f t="shared" si="2"/>
        <v>0</v>
      </c>
    </row>
    <row r="60" spans="1:16">
      <c r="A60" s="25"/>
      <c r="B60" s="25"/>
      <c r="C60" s="26"/>
      <c r="D60" s="26"/>
    </row>
    <row r="61" spans="1:16" ht="6" customHeight="1">
      <c r="A61" s="25"/>
      <c r="B61" s="25"/>
      <c r="C61" s="26"/>
      <c r="D61" s="26"/>
    </row>
    <row r="62" spans="1:16">
      <c r="A62" s="489" t="s">
        <v>460</v>
      </c>
      <c r="B62" s="489"/>
      <c r="C62" s="489"/>
      <c r="D62" s="489"/>
      <c r="E62" s="489"/>
      <c r="F62" s="489"/>
      <c r="G62" s="489"/>
      <c r="H62" s="489"/>
      <c r="I62" s="489"/>
      <c r="J62" s="489"/>
      <c r="K62" s="489"/>
    </row>
    <row r="63" spans="1:16">
      <c r="A63" s="25"/>
      <c r="B63" s="25"/>
      <c r="C63" s="26"/>
      <c r="D63" s="26"/>
    </row>
    <row r="64" spans="1:16">
      <c r="A64" s="25"/>
      <c r="B64" s="25"/>
      <c r="C64" s="26"/>
      <c r="D64" s="26"/>
    </row>
    <row r="65" spans="1:16">
      <c r="A65" s="25"/>
      <c r="B65" s="25"/>
      <c r="C65" s="26"/>
      <c r="D65" s="26"/>
    </row>
    <row r="66" spans="1:16">
      <c r="A66" s="25"/>
      <c r="B66" s="25"/>
      <c r="C66" s="26"/>
      <c r="D66" s="26"/>
    </row>
    <row r="67" spans="1:16">
      <c r="A67" s="25"/>
      <c r="B67" s="25"/>
      <c r="C67" s="26"/>
      <c r="D67" s="26"/>
    </row>
    <row r="68" spans="1:16">
      <c r="A68" s="25"/>
      <c r="B68" s="25"/>
      <c r="C68" s="26"/>
      <c r="D68" s="26"/>
    </row>
    <row r="69" spans="1:16">
      <c r="A69" s="25"/>
      <c r="B69" s="25"/>
      <c r="C69" s="26"/>
      <c r="D69" s="26"/>
    </row>
    <row r="70" spans="1:16">
      <c r="A70" s="25"/>
      <c r="B70" s="25"/>
      <c r="C70" s="26"/>
      <c r="D70" s="26"/>
    </row>
    <row r="71" spans="1:16">
      <c r="A71" s="25"/>
      <c r="B71" s="25"/>
      <c r="C71" s="26"/>
      <c r="D71" s="26"/>
    </row>
    <row r="72" spans="1:16" s="6" customFormat="1">
      <c r="A72" s="25"/>
      <c r="B72" s="25"/>
      <c r="C72" s="26"/>
      <c r="D72" s="26"/>
      <c r="L72" s="42"/>
      <c r="M72" s="42"/>
      <c r="N72" s="42"/>
      <c r="P72" s="158"/>
    </row>
    <row r="73" spans="1:16" s="6" customFormat="1">
      <c r="A73" s="25"/>
      <c r="B73" s="25"/>
      <c r="C73" s="26"/>
      <c r="D73" s="26"/>
      <c r="L73" s="42"/>
      <c r="M73" s="42"/>
      <c r="N73" s="42"/>
      <c r="P73" s="158"/>
    </row>
    <row r="74" spans="1:16" s="6" customFormat="1">
      <c r="A74" s="25"/>
      <c r="B74" s="25"/>
      <c r="C74" s="26"/>
      <c r="D74" s="26"/>
      <c r="L74" s="42"/>
      <c r="M74" s="42"/>
      <c r="N74" s="42"/>
      <c r="P74" s="158"/>
    </row>
    <row r="75" spans="1:16" s="6" customFormat="1">
      <c r="A75" s="25"/>
      <c r="B75" s="25"/>
      <c r="C75" s="26"/>
      <c r="D75" s="26"/>
      <c r="L75" s="42"/>
      <c r="M75" s="42"/>
      <c r="N75" s="42"/>
      <c r="P75" s="158"/>
    </row>
    <row r="76" spans="1:16" s="6" customFormat="1">
      <c r="A76" s="25"/>
      <c r="B76" s="25"/>
      <c r="C76" s="26"/>
      <c r="D76" s="26"/>
      <c r="L76" s="42"/>
      <c r="M76" s="42"/>
      <c r="N76" s="42"/>
      <c r="P76" s="158"/>
    </row>
    <row r="77" spans="1:16" s="6" customFormat="1">
      <c r="A77" s="25"/>
      <c r="B77" s="25"/>
      <c r="C77" s="26"/>
      <c r="D77" s="26"/>
      <c r="L77" s="42"/>
      <c r="M77" s="42"/>
      <c r="N77" s="42"/>
      <c r="P77" s="158"/>
    </row>
    <row r="78" spans="1:16" s="6" customFormat="1">
      <c r="A78" s="25"/>
      <c r="B78" s="25"/>
      <c r="C78" s="26"/>
      <c r="D78" s="26"/>
      <c r="L78" s="42"/>
      <c r="M78" s="42"/>
      <c r="N78" s="42"/>
      <c r="P78" s="158"/>
    </row>
    <row r="79" spans="1:16" s="6" customFormat="1">
      <c r="A79" s="25"/>
      <c r="B79" s="25"/>
      <c r="C79" s="26"/>
      <c r="D79" s="26"/>
      <c r="L79" s="42"/>
      <c r="M79" s="42"/>
      <c r="N79" s="42"/>
      <c r="P79" s="158"/>
    </row>
    <row r="80" spans="1:16" s="6" customFormat="1">
      <c r="A80" s="25"/>
      <c r="B80" s="25"/>
      <c r="C80" s="26"/>
      <c r="D80" s="26"/>
      <c r="L80" s="42"/>
      <c r="M80" s="42"/>
      <c r="N80" s="42"/>
      <c r="P80" s="158"/>
    </row>
    <row r="81" spans="1:16" s="6" customFormat="1">
      <c r="A81" s="25"/>
      <c r="B81" s="25"/>
      <c r="C81" s="26"/>
      <c r="D81" s="26"/>
      <c r="L81" s="42"/>
      <c r="M81" s="42"/>
      <c r="N81" s="42"/>
      <c r="P81" s="158"/>
    </row>
    <row r="82" spans="1:16" s="6" customFormat="1">
      <c r="A82" s="25"/>
      <c r="B82" s="25"/>
      <c r="C82" s="26"/>
      <c r="D82" s="26"/>
      <c r="L82" s="42"/>
      <c r="M82" s="42"/>
      <c r="N82" s="42"/>
      <c r="P82" s="158"/>
    </row>
    <row r="83" spans="1:16" s="6" customFormat="1">
      <c r="A83" s="25"/>
      <c r="B83" s="25"/>
      <c r="C83" s="26"/>
      <c r="D83" s="26"/>
      <c r="L83" s="42"/>
      <c r="M83" s="42"/>
      <c r="N83" s="42"/>
      <c r="P83" s="158"/>
    </row>
    <row r="84" spans="1:16" s="6" customFormat="1">
      <c r="A84" s="25"/>
      <c r="B84" s="25"/>
      <c r="C84" s="26"/>
      <c r="D84" s="26"/>
      <c r="L84" s="42"/>
      <c r="M84" s="42"/>
      <c r="N84" s="42"/>
      <c r="P84" s="158"/>
    </row>
    <row r="85" spans="1:16" s="6" customFormat="1">
      <c r="A85" s="25"/>
      <c r="B85" s="25"/>
      <c r="C85" s="26"/>
      <c r="D85" s="26"/>
      <c r="L85" s="42"/>
      <c r="M85" s="42"/>
      <c r="N85" s="42"/>
      <c r="P85" s="158"/>
    </row>
    <row r="86" spans="1:16" s="6" customFormat="1">
      <c r="A86" s="25"/>
      <c r="B86" s="25"/>
      <c r="C86" s="26"/>
      <c r="D86" s="26"/>
      <c r="L86" s="42"/>
      <c r="M86" s="42"/>
      <c r="N86" s="42"/>
      <c r="P86" s="158"/>
    </row>
    <row r="87" spans="1:16" s="6" customFormat="1">
      <c r="A87" s="25"/>
      <c r="B87" s="25"/>
      <c r="C87" s="26"/>
      <c r="D87" s="26"/>
      <c r="L87" s="42"/>
      <c r="M87" s="42"/>
      <c r="N87" s="42"/>
      <c r="P87" s="158"/>
    </row>
    <row r="88" spans="1:16" s="6" customFormat="1">
      <c r="A88" s="25"/>
      <c r="B88" s="25"/>
      <c r="C88" s="26"/>
      <c r="D88" s="26"/>
      <c r="L88" s="42"/>
      <c r="M88" s="42"/>
      <c r="N88" s="42"/>
      <c r="P88" s="158"/>
    </row>
    <row r="89" spans="1:16" s="6" customFormat="1">
      <c r="A89" s="25"/>
      <c r="B89" s="25"/>
      <c r="C89" s="26"/>
      <c r="D89" s="26"/>
      <c r="L89" s="42"/>
      <c r="M89" s="42"/>
      <c r="N89" s="42"/>
      <c r="P89" s="158"/>
    </row>
    <row r="90" spans="1:16" s="6" customFormat="1">
      <c r="A90" s="25"/>
      <c r="B90" s="25"/>
      <c r="C90" s="26"/>
      <c r="D90" s="26"/>
      <c r="L90" s="42"/>
      <c r="M90" s="42"/>
      <c r="N90" s="42"/>
      <c r="P90" s="158"/>
    </row>
    <row r="91" spans="1:16" s="6" customFormat="1">
      <c r="A91" s="25"/>
      <c r="B91" s="25"/>
      <c r="C91" s="26"/>
      <c r="D91" s="26"/>
      <c r="L91" s="42"/>
      <c r="M91" s="42"/>
      <c r="N91" s="42"/>
      <c r="P91" s="158"/>
    </row>
    <row r="92" spans="1:16" s="6" customFormat="1">
      <c r="A92" s="25"/>
      <c r="B92" s="25"/>
      <c r="C92" s="26"/>
      <c r="D92" s="26"/>
      <c r="L92" s="42"/>
      <c r="M92" s="42"/>
      <c r="N92" s="42"/>
      <c r="P92" s="158"/>
    </row>
    <row r="93" spans="1:16" s="6" customFormat="1">
      <c r="A93" s="25"/>
      <c r="B93" s="25"/>
      <c r="C93" s="26"/>
      <c r="D93" s="26"/>
      <c r="L93" s="42"/>
      <c r="M93" s="42"/>
      <c r="N93" s="42"/>
      <c r="P93" s="158"/>
    </row>
    <row r="94" spans="1:16" s="6" customFormat="1">
      <c r="A94" s="25"/>
      <c r="B94" s="25"/>
      <c r="C94" s="26"/>
      <c r="D94" s="26"/>
      <c r="L94" s="42"/>
      <c r="M94" s="42"/>
      <c r="N94" s="42"/>
      <c r="P94" s="158"/>
    </row>
    <row r="95" spans="1:16" s="6" customFormat="1">
      <c r="A95" s="25"/>
      <c r="B95" s="25"/>
      <c r="C95" s="26"/>
      <c r="D95" s="26"/>
      <c r="L95" s="42"/>
      <c r="M95" s="42"/>
      <c r="N95" s="42"/>
      <c r="P95" s="158"/>
    </row>
    <row r="96" spans="1:16" s="6" customFormat="1">
      <c r="A96" s="25"/>
      <c r="B96" s="25"/>
      <c r="C96" s="26"/>
      <c r="D96" s="26"/>
      <c r="L96" s="42"/>
      <c r="M96" s="42"/>
      <c r="N96" s="42"/>
      <c r="P96" s="158"/>
    </row>
    <row r="97" spans="1:16" s="6" customFormat="1">
      <c r="A97" s="25"/>
      <c r="B97" s="25"/>
      <c r="C97" s="26"/>
      <c r="D97" s="26"/>
      <c r="L97" s="42"/>
      <c r="M97" s="42"/>
      <c r="N97" s="42"/>
      <c r="P97" s="158"/>
    </row>
    <row r="98" spans="1:16" s="6" customFormat="1">
      <c r="A98" s="25"/>
      <c r="B98" s="25"/>
      <c r="C98" s="26"/>
      <c r="D98" s="26"/>
      <c r="L98" s="42"/>
      <c r="M98" s="42"/>
      <c r="N98" s="42"/>
      <c r="P98" s="158"/>
    </row>
    <row r="99" spans="1:16" s="6" customFormat="1">
      <c r="A99" s="25"/>
      <c r="B99" s="25"/>
      <c r="C99" s="26"/>
      <c r="D99" s="26"/>
      <c r="L99" s="42"/>
      <c r="M99" s="42"/>
      <c r="N99" s="42"/>
      <c r="P99" s="158"/>
    </row>
    <row r="100" spans="1:16" s="6" customFormat="1">
      <c r="A100" s="25"/>
      <c r="B100" s="25"/>
      <c r="C100" s="26"/>
      <c r="D100" s="26"/>
      <c r="L100" s="42"/>
      <c r="M100" s="42"/>
      <c r="N100" s="42"/>
      <c r="P100" s="158"/>
    </row>
    <row r="101" spans="1:16" s="6" customFormat="1">
      <c r="A101" s="25"/>
      <c r="B101" s="25"/>
      <c r="C101" s="26"/>
      <c r="D101" s="26"/>
      <c r="L101" s="42"/>
      <c r="M101" s="42"/>
      <c r="N101" s="42"/>
      <c r="P101" s="158"/>
    </row>
    <row r="102" spans="1:16" s="6" customFormat="1">
      <c r="A102" s="25"/>
      <c r="B102" s="25"/>
      <c r="C102" s="26"/>
      <c r="D102" s="26"/>
      <c r="L102" s="42"/>
      <c r="M102" s="42"/>
      <c r="N102" s="42"/>
      <c r="P102" s="158"/>
    </row>
    <row r="103" spans="1:16" s="6" customFormat="1">
      <c r="A103" s="25"/>
      <c r="B103" s="25"/>
      <c r="C103" s="26"/>
      <c r="D103" s="26"/>
      <c r="L103" s="42"/>
      <c r="M103" s="42"/>
      <c r="N103" s="42"/>
      <c r="P103" s="158"/>
    </row>
    <row r="104" spans="1:16" s="6" customFormat="1">
      <c r="A104" s="25"/>
      <c r="B104" s="25"/>
      <c r="C104" s="26"/>
      <c r="D104" s="26"/>
      <c r="L104" s="42"/>
      <c r="M104" s="42"/>
      <c r="N104" s="42"/>
      <c r="P104" s="158"/>
    </row>
    <row r="105" spans="1:16" s="6" customFormat="1">
      <c r="A105" s="25"/>
      <c r="B105" s="25"/>
      <c r="C105" s="26"/>
      <c r="D105" s="26"/>
      <c r="L105" s="42"/>
      <c r="M105" s="42"/>
      <c r="N105" s="42"/>
      <c r="P105" s="158"/>
    </row>
    <row r="106" spans="1:16" s="6" customFormat="1">
      <c r="A106" s="25"/>
      <c r="B106" s="25"/>
      <c r="C106" s="26"/>
      <c r="D106" s="26"/>
      <c r="L106" s="42"/>
      <c r="M106" s="42"/>
      <c r="N106" s="42"/>
      <c r="P106" s="158"/>
    </row>
    <row r="107" spans="1:16" s="6" customFormat="1">
      <c r="A107" s="25"/>
      <c r="B107" s="25"/>
      <c r="C107" s="26"/>
      <c r="D107" s="26"/>
      <c r="L107" s="42"/>
      <c r="M107" s="42"/>
      <c r="N107" s="42"/>
      <c r="P107" s="158"/>
    </row>
    <row r="108" spans="1:16" s="6" customFormat="1">
      <c r="A108" s="25"/>
      <c r="B108" s="25"/>
      <c r="C108" s="26"/>
      <c r="D108" s="26"/>
      <c r="L108" s="42"/>
      <c r="M108" s="42"/>
      <c r="N108" s="42"/>
      <c r="P108" s="158"/>
    </row>
    <row r="109" spans="1:16" s="6" customFormat="1">
      <c r="A109" s="25"/>
      <c r="B109" s="25"/>
      <c r="C109" s="26"/>
      <c r="D109" s="26"/>
      <c r="L109" s="42"/>
      <c r="M109" s="42"/>
      <c r="N109" s="42"/>
      <c r="P109" s="158"/>
    </row>
    <row r="110" spans="1:16" s="6" customFormat="1">
      <c r="A110" s="25"/>
      <c r="B110" s="25"/>
      <c r="C110" s="26"/>
      <c r="D110" s="26"/>
      <c r="L110" s="42"/>
      <c r="M110" s="42"/>
      <c r="N110" s="42"/>
      <c r="P110" s="158"/>
    </row>
    <row r="111" spans="1:16" s="6" customFormat="1">
      <c r="A111" s="25"/>
      <c r="B111" s="25"/>
      <c r="C111" s="26"/>
      <c r="D111" s="26"/>
      <c r="L111" s="42"/>
      <c r="M111" s="42"/>
      <c r="N111" s="42"/>
      <c r="P111" s="158"/>
    </row>
    <row r="112" spans="1:16" s="6" customFormat="1">
      <c r="A112" s="25"/>
      <c r="B112" s="25"/>
      <c r="C112" s="26"/>
      <c r="D112" s="26"/>
      <c r="L112" s="42"/>
      <c r="M112" s="42"/>
      <c r="N112" s="42"/>
      <c r="P112" s="158"/>
    </row>
    <row r="113" spans="1:16" s="6" customFormat="1">
      <c r="A113" s="25"/>
      <c r="B113" s="25"/>
      <c r="C113" s="26"/>
      <c r="D113" s="26"/>
      <c r="L113" s="42"/>
      <c r="M113" s="42"/>
      <c r="N113" s="42"/>
      <c r="P113" s="158"/>
    </row>
    <row r="114" spans="1:16" s="6" customFormat="1">
      <c r="A114" s="25"/>
      <c r="B114" s="25"/>
      <c r="C114" s="26"/>
      <c r="D114" s="26"/>
      <c r="L114" s="42"/>
      <c r="M114" s="42"/>
      <c r="N114" s="42"/>
      <c r="P114" s="158"/>
    </row>
    <row r="115" spans="1:16" s="6" customFormat="1">
      <c r="A115" s="25"/>
      <c r="B115" s="25"/>
      <c r="C115" s="26"/>
      <c r="D115" s="26"/>
      <c r="L115" s="42"/>
      <c r="M115" s="42"/>
      <c r="N115" s="42"/>
      <c r="P115" s="158"/>
    </row>
    <row r="116" spans="1:16" s="6" customFormat="1">
      <c r="A116" s="25"/>
      <c r="B116" s="25"/>
      <c r="C116" s="26"/>
      <c r="D116" s="26"/>
      <c r="L116" s="42"/>
      <c r="M116" s="42"/>
      <c r="N116" s="42"/>
      <c r="P116" s="158"/>
    </row>
    <row r="117" spans="1:16" s="6" customFormat="1">
      <c r="A117" s="25"/>
      <c r="B117" s="25"/>
      <c r="C117" s="26"/>
      <c r="D117" s="26"/>
      <c r="L117" s="42"/>
      <c r="M117" s="42"/>
      <c r="N117" s="42"/>
      <c r="P117" s="158"/>
    </row>
    <row r="118" spans="1:16" s="6" customFormat="1">
      <c r="A118" s="25"/>
      <c r="B118" s="25"/>
      <c r="C118" s="26"/>
      <c r="D118" s="26"/>
      <c r="L118" s="42"/>
      <c r="M118" s="42"/>
      <c r="N118" s="42"/>
      <c r="P118" s="158"/>
    </row>
    <row r="119" spans="1:16" s="6" customFormat="1">
      <c r="A119" s="25"/>
      <c r="B119" s="25"/>
      <c r="C119" s="26"/>
      <c r="D119" s="26"/>
      <c r="L119" s="42"/>
      <c r="M119" s="42"/>
      <c r="N119" s="42"/>
      <c r="P119" s="158"/>
    </row>
    <row r="120" spans="1:16" s="6" customFormat="1">
      <c r="A120" s="25"/>
      <c r="B120" s="25"/>
      <c r="C120" s="26"/>
      <c r="D120" s="26"/>
      <c r="L120" s="42"/>
      <c r="M120" s="42"/>
      <c r="N120" s="42"/>
      <c r="P120" s="158"/>
    </row>
    <row r="121" spans="1:16" s="6" customFormat="1">
      <c r="A121" s="25"/>
      <c r="B121" s="25"/>
      <c r="C121" s="26"/>
      <c r="D121" s="26"/>
      <c r="L121" s="42"/>
      <c r="M121" s="42"/>
      <c r="N121" s="42"/>
      <c r="P121" s="158"/>
    </row>
    <row r="122" spans="1:16" s="6" customFormat="1">
      <c r="A122" s="25"/>
      <c r="B122" s="25"/>
      <c r="C122" s="26"/>
      <c r="D122" s="26"/>
      <c r="L122" s="42"/>
      <c r="M122" s="42"/>
      <c r="N122" s="42"/>
      <c r="P122" s="158"/>
    </row>
    <row r="123" spans="1:16" s="6" customFormat="1">
      <c r="A123" s="25"/>
      <c r="B123" s="25"/>
      <c r="C123" s="26"/>
      <c r="D123" s="26"/>
      <c r="L123" s="42"/>
      <c r="M123" s="42"/>
      <c r="N123" s="42"/>
      <c r="P123" s="158"/>
    </row>
    <row r="124" spans="1:16" s="6" customFormat="1">
      <c r="A124" s="25"/>
      <c r="B124" s="25"/>
      <c r="C124" s="26"/>
      <c r="D124" s="26"/>
      <c r="L124" s="42"/>
      <c r="M124" s="42"/>
      <c r="N124" s="42"/>
      <c r="P124" s="158"/>
    </row>
    <row r="125" spans="1:16" s="6" customFormat="1">
      <c r="A125" s="25"/>
      <c r="B125" s="25"/>
      <c r="C125" s="26"/>
      <c r="D125" s="26"/>
      <c r="L125" s="42"/>
      <c r="M125" s="42"/>
      <c r="N125" s="42"/>
      <c r="P125" s="158"/>
    </row>
    <row r="126" spans="1:16" s="6" customFormat="1">
      <c r="A126" s="25"/>
      <c r="B126" s="25"/>
      <c r="C126" s="26"/>
      <c r="D126" s="26"/>
      <c r="L126" s="42"/>
      <c r="M126" s="42"/>
      <c r="N126" s="42"/>
      <c r="P126" s="158"/>
    </row>
    <row r="127" spans="1:16" s="6" customFormat="1">
      <c r="A127" s="25"/>
      <c r="B127" s="25"/>
      <c r="C127" s="26"/>
      <c r="D127" s="26"/>
      <c r="L127" s="42"/>
      <c r="M127" s="42"/>
      <c r="N127" s="42"/>
      <c r="P127" s="158"/>
    </row>
    <row r="128" spans="1:16" s="6" customFormat="1">
      <c r="A128" s="25"/>
      <c r="B128" s="25"/>
      <c r="C128" s="26"/>
      <c r="D128" s="26"/>
      <c r="L128" s="42"/>
      <c r="M128" s="42"/>
      <c r="N128" s="42"/>
      <c r="P128" s="158"/>
    </row>
    <row r="129" spans="1:16" s="6" customFormat="1">
      <c r="A129" s="25"/>
      <c r="B129" s="25"/>
      <c r="C129" s="26"/>
      <c r="D129" s="26"/>
      <c r="L129" s="42"/>
      <c r="M129" s="42"/>
      <c r="N129" s="42"/>
      <c r="P129" s="158"/>
    </row>
    <row r="130" spans="1:16" s="6" customFormat="1">
      <c r="A130" s="25"/>
      <c r="B130" s="25"/>
      <c r="C130" s="26"/>
      <c r="D130" s="26"/>
      <c r="L130" s="42"/>
      <c r="M130" s="42"/>
      <c r="N130" s="42"/>
      <c r="P130" s="158"/>
    </row>
    <row r="131" spans="1:16" s="6" customFormat="1">
      <c r="A131" s="25"/>
      <c r="B131" s="25"/>
      <c r="C131" s="26"/>
      <c r="D131" s="26"/>
      <c r="L131" s="42"/>
      <c r="M131" s="42"/>
      <c r="N131" s="42"/>
      <c r="P131" s="158"/>
    </row>
    <row r="132" spans="1:16" s="6" customFormat="1">
      <c r="A132" s="25"/>
      <c r="B132" s="25"/>
      <c r="C132" s="26"/>
      <c r="D132" s="26"/>
      <c r="L132" s="42"/>
      <c r="M132" s="42"/>
      <c r="N132" s="42"/>
      <c r="P132" s="158"/>
    </row>
    <row r="133" spans="1:16" s="6" customFormat="1">
      <c r="A133" s="25"/>
      <c r="B133" s="25"/>
      <c r="C133" s="26"/>
      <c r="D133" s="26"/>
      <c r="L133" s="42"/>
      <c r="M133" s="42"/>
      <c r="N133" s="42"/>
      <c r="P133" s="158"/>
    </row>
    <row r="134" spans="1:16" s="6" customFormat="1">
      <c r="A134" s="25"/>
      <c r="B134" s="25"/>
      <c r="C134" s="26"/>
      <c r="D134" s="26"/>
      <c r="L134" s="42"/>
      <c r="M134" s="42"/>
      <c r="N134" s="42"/>
      <c r="P134" s="158"/>
    </row>
    <row r="135" spans="1:16" s="6" customFormat="1">
      <c r="A135" s="25"/>
      <c r="B135" s="25"/>
      <c r="C135" s="26"/>
      <c r="D135" s="26"/>
      <c r="L135" s="42"/>
      <c r="M135" s="42"/>
      <c r="N135" s="42"/>
      <c r="P135" s="158"/>
    </row>
    <row r="136" spans="1:16" s="6" customFormat="1">
      <c r="A136" s="25"/>
      <c r="B136" s="25"/>
      <c r="C136" s="26"/>
      <c r="D136" s="26"/>
      <c r="L136" s="42"/>
      <c r="M136" s="42"/>
      <c r="N136" s="42"/>
      <c r="P136" s="158"/>
    </row>
    <row r="137" spans="1:16" s="6" customFormat="1">
      <c r="A137" s="25"/>
      <c r="B137" s="25"/>
      <c r="C137" s="26"/>
      <c r="D137" s="26"/>
      <c r="L137" s="42"/>
      <c r="M137" s="42"/>
      <c r="N137" s="42"/>
      <c r="P137" s="158"/>
    </row>
    <row r="138" spans="1:16" s="6" customFormat="1">
      <c r="A138" s="25"/>
      <c r="B138" s="25"/>
      <c r="C138" s="26"/>
      <c r="D138" s="26"/>
      <c r="L138" s="42"/>
      <c r="M138" s="42"/>
      <c r="N138" s="42"/>
      <c r="P138" s="158"/>
    </row>
    <row r="139" spans="1:16" s="6" customFormat="1">
      <c r="A139" s="25"/>
      <c r="B139" s="25"/>
      <c r="C139" s="26"/>
      <c r="D139" s="26"/>
      <c r="L139" s="42"/>
      <c r="M139" s="42"/>
      <c r="N139" s="42"/>
      <c r="P139" s="158"/>
    </row>
    <row r="140" spans="1:16" s="6" customFormat="1">
      <c r="A140" s="25"/>
      <c r="B140" s="25"/>
      <c r="C140" s="26"/>
      <c r="D140" s="26"/>
      <c r="L140" s="42"/>
      <c r="M140" s="42"/>
      <c r="N140" s="42"/>
      <c r="P140" s="158"/>
    </row>
    <row r="141" spans="1:16" s="6" customFormat="1">
      <c r="A141" s="25"/>
      <c r="B141" s="25"/>
      <c r="C141" s="26"/>
      <c r="D141" s="26"/>
      <c r="L141" s="42"/>
      <c r="M141" s="42"/>
      <c r="N141" s="42"/>
      <c r="P141" s="158"/>
    </row>
    <row r="142" spans="1:16" s="6" customFormat="1">
      <c r="A142" s="25"/>
      <c r="B142" s="25"/>
      <c r="C142" s="26"/>
      <c r="D142" s="26"/>
      <c r="L142" s="42"/>
      <c r="M142" s="42"/>
      <c r="N142" s="42"/>
      <c r="P142" s="158"/>
    </row>
    <row r="143" spans="1:16" s="6" customFormat="1">
      <c r="A143" s="25"/>
      <c r="B143" s="25"/>
      <c r="C143" s="26"/>
      <c r="D143" s="26"/>
      <c r="L143" s="42"/>
      <c r="M143" s="42"/>
      <c r="N143" s="42"/>
      <c r="P143" s="158"/>
    </row>
    <row r="144" spans="1:16" s="6" customFormat="1">
      <c r="A144" s="25"/>
      <c r="B144" s="25"/>
      <c r="C144" s="27"/>
      <c r="D144" s="26"/>
      <c r="L144" s="42"/>
      <c r="M144" s="42"/>
      <c r="N144" s="42"/>
      <c r="P144" s="158"/>
    </row>
    <row r="145" spans="1:16" s="6" customFormat="1">
      <c r="A145" s="25"/>
      <c r="B145" s="25"/>
      <c r="C145" s="27"/>
      <c r="D145" s="26"/>
      <c r="L145" s="42"/>
      <c r="M145" s="42"/>
      <c r="N145" s="42"/>
      <c r="P145" s="158"/>
    </row>
    <row r="146" spans="1:16" s="6" customFormat="1">
      <c r="A146" s="25"/>
      <c r="B146" s="25"/>
      <c r="C146" s="27"/>
      <c r="D146" s="26"/>
      <c r="L146" s="42"/>
      <c r="M146" s="42"/>
      <c r="N146" s="42"/>
      <c r="P146" s="158"/>
    </row>
    <row r="147" spans="1:16" s="6" customFormat="1">
      <c r="A147" s="25"/>
      <c r="B147" s="25"/>
      <c r="C147" s="27"/>
      <c r="D147" s="26"/>
      <c r="L147" s="42"/>
      <c r="M147" s="42"/>
      <c r="N147" s="42"/>
      <c r="P147" s="158"/>
    </row>
    <row r="148" spans="1:16" s="6" customFormat="1">
      <c r="A148" s="25"/>
      <c r="B148" s="25"/>
      <c r="C148" s="27"/>
      <c r="D148" s="26"/>
      <c r="L148" s="42"/>
      <c r="M148" s="42"/>
      <c r="N148" s="42"/>
      <c r="P148" s="158"/>
    </row>
    <row r="149" spans="1:16" s="6" customFormat="1">
      <c r="A149" s="25"/>
      <c r="B149" s="25"/>
      <c r="C149" s="27"/>
      <c r="D149" s="26"/>
      <c r="L149" s="42"/>
      <c r="M149" s="42"/>
      <c r="N149" s="42"/>
      <c r="P149" s="158"/>
    </row>
    <row r="150" spans="1:16" s="6" customFormat="1">
      <c r="A150" s="25"/>
      <c r="B150" s="25"/>
      <c r="C150" s="27"/>
      <c r="D150" s="26"/>
      <c r="L150" s="42"/>
      <c r="M150" s="42"/>
      <c r="N150" s="42"/>
      <c r="P150" s="158"/>
    </row>
    <row r="151" spans="1:16" s="6" customFormat="1">
      <c r="A151" s="25"/>
      <c r="B151" s="25"/>
      <c r="C151" s="27"/>
      <c r="D151" s="26"/>
      <c r="L151" s="42"/>
      <c r="M151" s="42"/>
      <c r="N151" s="42"/>
      <c r="P151" s="158"/>
    </row>
    <row r="152" spans="1:16" s="6" customFormat="1">
      <c r="A152" s="25"/>
      <c r="B152" s="25"/>
      <c r="C152" s="27"/>
      <c r="D152" s="26"/>
      <c r="L152" s="42"/>
      <c r="M152" s="42"/>
      <c r="N152" s="42"/>
      <c r="P152" s="158"/>
    </row>
    <row r="153" spans="1:16" s="6" customFormat="1">
      <c r="A153" s="25"/>
      <c r="B153" s="25"/>
      <c r="C153" s="27"/>
      <c r="D153" s="26"/>
      <c r="L153" s="42"/>
      <c r="M153" s="42"/>
      <c r="N153" s="42"/>
      <c r="P153" s="158"/>
    </row>
    <row r="154" spans="1:16" s="6" customFormat="1">
      <c r="A154" s="25"/>
      <c r="B154" s="25"/>
      <c r="C154" s="27"/>
      <c r="D154" s="26"/>
      <c r="L154" s="42"/>
      <c r="M154" s="42"/>
      <c r="N154" s="42"/>
      <c r="P154" s="158"/>
    </row>
    <row r="155" spans="1:16" s="6" customFormat="1">
      <c r="A155" s="25"/>
      <c r="B155" s="25"/>
      <c r="C155" s="27"/>
      <c r="D155" s="26"/>
      <c r="L155" s="42"/>
      <c r="M155" s="42"/>
      <c r="N155" s="42"/>
      <c r="P155" s="158"/>
    </row>
    <row r="156" spans="1:16" s="6" customFormat="1">
      <c r="A156" s="4"/>
      <c r="B156" s="4"/>
      <c r="C156" s="5"/>
      <c r="D156" s="28"/>
      <c r="L156" s="42"/>
      <c r="M156" s="42"/>
      <c r="N156" s="42"/>
      <c r="P156" s="158"/>
    </row>
    <row r="157" spans="1:16" s="6" customFormat="1">
      <c r="A157" s="4"/>
      <c r="B157" s="4"/>
      <c r="C157" s="5"/>
      <c r="D157" s="28"/>
      <c r="L157" s="42"/>
      <c r="M157" s="42"/>
      <c r="N157" s="42"/>
      <c r="P157" s="158"/>
    </row>
    <row r="158" spans="1:16" s="6" customFormat="1">
      <c r="A158" s="4"/>
      <c r="B158" s="4"/>
      <c r="C158" s="5"/>
      <c r="D158" s="28"/>
      <c r="L158" s="42"/>
      <c r="M158" s="42"/>
      <c r="N158" s="42"/>
      <c r="P158" s="158"/>
    </row>
    <row r="159" spans="1:16" s="6" customFormat="1">
      <c r="A159" s="4"/>
      <c r="B159" s="4"/>
      <c r="C159" s="5"/>
      <c r="D159" s="28"/>
      <c r="L159" s="42"/>
      <c r="M159" s="42"/>
      <c r="N159" s="42"/>
      <c r="P159" s="158"/>
    </row>
    <row r="160" spans="1:16" s="6" customFormat="1">
      <c r="A160" s="4"/>
      <c r="B160" s="4"/>
      <c r="C160" s="5"/>
      <c r="D160" s="28"/>
      <c r="L160" s="42"/>
      <c r="M160" s="42"/>
      <c r="N160" s="42"/>
      <c r="P160" s="158"/>
    </row>
    <row r="161" spans="1:16" s="6" customFormat="1">
      <c r="A161" s="4"/>
      <c r="B161" s="4"/>
      <c r="C161" s="5"/>
      <c r="D161" s="28"/>
      <c r="L161" s="42"/>
      <c r="M161" s="42"/>
      <c r="N161" s="42"/>
      <c r="P161" s="158"/>
    </row>
    <row r="162" spans="1:16" s="6" customFormat="1">
      <c r="A162" s="4"/>
      <c r="B162" s="4"/>
      <c r="C162" s="5"/>
      <c r="D162" s="28"/>
      <c r="L162" s="42"/>
      <c r="M162" s="42"/>
      <c r="N162" s="42"/>
      <c r="P162" s="158"/>
    </row>
    <row r="163" spans="1:16" s="6" customFormat="1">
      <c r="A163" s="4"/>
      <c r="B163" s="4"/>
      <c r="C163" s="5"/>
      <c r="D163" s="28"/>
      <c r="L163" s="42"/>
      <c r="M163" s="42"/>
      <c r="N163" s="42"/>
      <c r="P163" s="158"/>
    </row>
    <row r="164" spans="1:16" s="6" customFormat="1">
      <c r="A164" s="4"/>
      <c r="B164" s="4"/>
      <c r="C164" s="5"/>
      <c r="D164" s="28"/>
      <c r="L164" s="42"/>
      <c r="M164" s="42"/>
      <c r="N164" s="42"/>
      <c r="P164" s="158"/>
    </row>
    <row r="165" spans="1:16" s="6" customFormat="1">
      <c r="A165" s="4"/>
      <c r="B165" s="4"/>
      <c r="C165" s="5"/>
      <c r="D165" s="28"/>
      <c r="L165" s="42"/>
      <c r="M165" s="42"/>
      <c r="N165" s="42"/>
      <c r="P165" s="158"/>
    </row>
    <row r="166" spans="1:16" s="6" customFormat="1">
      <c r="A166" s="4"/>
      <c r="B166" s="4"/>
      <c r="C166" s="5"/>
      <c r="D166" s="28"/>
      <c r="L166" s="42"/>
      <c r="M166" s="42"/>
      <c r="N166" s="42"/>
      <c r="P166" s="158"/>
    </row>
    <row r="167" spans="1:16" s="6" customFormat="1">
      <c r="A167" s="4"/>
      <c r="B167" s="4"/>
      <c r="C167" s="5"/>
      <c r="D167" s="28"/>
      <c r="L167" s="42"/>
      <c r="M167" s="42"/>
      <c r="N167" s="42"/>
      <c r="P167" s="158"/>
    </row>
    <row r="168" spans="1:16" s="6" customFormat="1">
      <c r="A168" s="4"/>
      <c r="B168" s="4"/>
      <c r="C168" s="5"/>
      <c r="D168" s="28"/>
      <c r="L168" s="42"/>
      <c r="M168" s="42"/>
      <c r="N168" s="42"/>
      <c r="P168" s="158"/>
    </row>
    <row r="169" spans="1:16" s="6" customFormat="1">
      <c r="A169" s="4"/>
      <c r="B169" s="4"/>
      <c r="C169" s="5"/>
      <c r="D169" s="28"/>
      <c r="L169" s="42"/>
      <c r="M169" s="42"/>
      <c r="N169" s="42"/>
      <c r="P169" s="158"/>
    </row>
    <row r="170" spans="1:16" s="6" customFormat="1">
      <c r="A170" s="4"/>
      <c r="B170" s="4"/>
      <c r="C170" s="5"/>
      <c r="D170" s="28"/>
      <c r="L170" s="42"/>
      <c r="M170" s="42"/>
      <c r="N170" s="42"/>
      <c r="P170" s="158"/>
    </row>
    <row r="171" spans="1:16" s="6" customFormat="1">
      <c r="A171" s="4"/>
      <c r="B171" s="4"/>
      <c r="C171" s="5"/>
      <c r="D171" s="28"/>
      <c r="L171" s="42"/>
      <c r="M171" s="42"/>
      <c r="N171" s="42"/>
      <c r="P171" s="158"/>
    </row>
    <row r="172" spans="1:16" s="6" customFormat="1">
      <c r="A172" s="4"/>
      <c r="B172" s="4"/>
      <c r="C172" s="5"/>
      <c r="D172" s="28"/>
      <c r="L172" s="42"/>
      <c r="M172" s="42"/>
      <c r="N172" s="42"/>
      <c r="P172" s="158"/>
    </row>
    <row r="173" spans="1:16" s="6" customFormat="1">
      <c r="A173" s="4"/>
      <c r="B173" s="4"/>
      <c r="C173" s="5"/>
      <c r="D173" s="28"/>
      <c r="L173" s="42"/>
      <c r="M173" s="42"/>
      <c r="N173" s="42"/>
      <c r="P173" s="158"/>
    </row>
    <row r="174" spans="1:16" s="6" customFormat="1">
      <c r="A174" s="4"/>
      <c r="B174" s="4"/>
      <c r="C174" s="5"/>
      <c r="D174" s="28"/>
      <c r="L174" s="42"/>
      <c r="M174" s="42"/>
      <c r="N174" s="42"/>
      <c r="P174" s="158"/>
    </row>
    <row r="175" spans="1:16" s="6" customFormat="1">
      <c r="A175" s="4"/>
      <c r="B175" s="4"/>
      <c r="C175" s="5"/>
      <c r="D175" s="28"/>
      <c r="L175" s="42"/>
      <c r="M175" s="42"/>
      <c r="N175" s="42"/>
      <c r="P175" s="158"/>
    </row>
    <row r="176" spans="1:16" s="6" customFormat="1">
      <c r="A176" s="4"/>
      <c r="B176" s="4"/>
      <c r="C176" s="5"/>
      <c r="D176" s="28"/>
      <c r="L176" s="42"/>
      <c r="M176" s="42"/>
      <c r="N176" s="42"/>
      <c r="P176" s="158"/>
    </row>
    <row r="177" spans="1:16" s="6" customFormat="1">
      <c r="A177" s="4"/>
      <c r="B177" s="4"/>
      <c r="C177" s="5"/>
      <c r="D177" s="28"/>
      <c r="L177" s="42"/>
      <c r="M177" s="42"/>
      <c r="N177" s="42"/>
      <c r="P177" s="158"/>
    </row>
    <row r="178" spans="1:16" s="6" customFormat="1">
      <c r="A178" s="4"/>
      <c r="B178" s="4"/>
      <c r="C178" s="5"/>
      <c r="D178" s="28"/>
      <c r="L178" s="42"/>
      <c r="M178" s="42"/>
      <c r="N178" s="42"/>
      <c r="P178" s="158"/>
    </row>
    <row r="179" spans="1:16" s="6" customFormat="1">
      <c r="A179" s="4"/>
      <c r="B179" s="4"/>
      <c r="C179" s="5"/>
      <c r="D179" s="28"/>
      <c r="L179" s="42"/>
      <c r="M179" s="42"/>
      <c r="N179" s="42"/>
      <c r="P179" s="158"/>
    </row>
    <row r="180" spans="1:16" s="6" customFormat="1">
      <c r="A180" s="4"/>
      <c r="B180" s="4"/>
      <c r="C180" s="5"/>
      <c r="D180" s="28"/>
      <c r="L180" s="42"/>
      <c r="M180" s="42"/>
      <c r="N180" s="42"/>
      <c r="P180" s="158"/>
    </row>
    <row r="181" spans="1:16" s="6" customFormat="1">
      <c r="A181" s="4"/>
      <c r="B181" s="4"/>
      <c r="C181" s="5"/>
      <c r="D181" s="28"/>
      <c r="L181" s="42"/>
      <c r="M181" s="42"/>
      <c r="N181" s="42"/>
      <c r="P181" s="158"/>
    </row>
    <row r="182" spans="1:16" s="6" customFormat="1">
      <c r="A182" s="4"/>
      <c r="B182" s="4"/>
      <c r="C182" s="5"/>
      <c r="D182" s="28"/>
      <c r="L182" s="42"/>
      <c r="M182" s="42"/>
      <c r="N182" s="42"/>
      <c r="P182" s="158"/>
    </row>
    <row r="183" spans="1:16" s="6" customFormat="1">
      <c r="A183" s="4"/>
      <c r="B183" s="4"/>
      <c r="C183" s="5"/>
      <c r="D183" s="28"/>
      <c r="L183" s="42"/>
      <c r="M183" s="42"/>
      <c r="N183" s="42"/>
      <c r="P183" s="158"/>
    </row>
    <row r="184" spans="1:16" s="6" customFormat="1">
      <c r="A184" s="4"/>
      <c r="B184" s="4"/>
      <c r="C184" s="5"/>
      <c r="D184" s="28"/>
      <c r="L184" s="42"/>
      <c r="M184" s="42"/>
      <c r="N184" s="42"/>
      <c r="P184" s="158"/>
    </row>
    <row r="185" spans="1:16" s="6" customFormat="1">
      <c r="A185" s="4"/>
      <c r="B185" s="4"/>
      <c r="C185" s="5"/>
      <c r="D185" s="28"/>
      <c r="L185" s="42"/>
      <c r="M185" s="42"/>
      <c r="N185" s="42"/>
      <c r="P185" s="158"/>
    </row>
    <row r="186" spans="1:16" s="6" customFormat="1">
      <c r="A186" s="4"/>
      <c r="B186" s="4"/>
      <c r="C186" s="5"/>
      <c r="D186" s="28"/>
      <c r="L186" s="42"/>
      <c r="M186" s="42"/>
      <c r="N186" s="42"/>
      <c r="P186" s="158"/>
    </row>
    <row r="187" spans="1:16" s="6" customFormat="1">
      <c r="A187" s="4"/>
      <c r="B187" s="4"/>
      <c r="C187" s="5"/>
      <c r="D187" s="28"/>
      <c r="L187" s="42"/>
      <c r="M187" s="42"/>
      <c r="N187" s="42"/>
      <c r="P187" s="158"/>
    </row>
    <row r="188" spans="1:16" s="6" customFormat="1">
      <c r="A188" s="4"/>
      <c r="B188" s="4"/>
      <c r="C188" s="5"/>
      <c r="D188" s="28"/>
      <c r="L188" s="42"/>
      <c r="M188" s="42"/>
      <c r="N188" s="42"/>
      <c r="P188" s="158"/>
    </row>
    <row r="189" spans="1:16" s="6" customFormat="1">
      <c r="A189" s="4"/>
      <c r="B189" s="4"/>
      <c r="C189" s="5"/>
      <c r="D189" s="28"/>
      <c r="L189" s="42"/>
      <c r="M189" s="42"/>
      <c r="N189" s="42"/>
      <c r="P189" s="158"/>
    </row>
    <row r="190" spans="1:16" s="6" customFormat="1">
      <c r="A190" s="4"/>
      <c r="B190" s="4"/>
      <c r="C190" s="5"/>
      <c r="D190" s="28"/>
      <c r="L190" s="42"/>
      <c r="M190" s="42"/>
      <c r="N190" s="42"/>
      <c r="P190" s="158"/>
    </row>
    <row r="191" spans="1:16" s="6" customFormat="1">
      <c r="A191" s="4"/>
      <c r="B191" s="4"/>
      <c r="C191" s="5"/>
      <c r="D191" s="28"/>
      <c r="L191" s="42"/>
      <c r="M191" s="42"/>
      <c r="N191" s="42"/>
      <c r="P191" s="158"/>
    </row>
    <row r="192" spans="1:16" s="6" customFormat="1">
      <c r="A192" s="4"/>
      <c r="B192" s="4"/>
      <c r="C192" s="5"/>
      <c r="D192" s="28"/>
      <c r="L192" s="42"/>
      <c r="M192" s="42"/>
      <c r="N192" s="42"/>
      <c r="P192" s="158"/>
    </row>
    <row r="193" spans="1:16" s="6" customFormat="1">
      <c r="A193" s="4"/>
      <c r="B193" s="4"/>
      <c r="C193" s="5"/>
      <c r="D193" s="28"/>
      <c r="L193" s="42"/>
      <c r="M193" s="42"/>
      <c r="N193" s="42"/>
      <c r="P193" s="158"/>
    </row>
    <row r="194" spans="1:16" s="6" customFormat="1">
      <c r="A194" s="4"/>
      <c r="B194" s="4"/>
      <c r="C194" s="5"/>
      <c r="D194" s="28"/>
      <c r="L194" s="42"/>
      <c r="M194" s="42"/>
      <c r="N194" s="42"/>
      <c r="P194" s="158"/>
    </row>
    <row r="195" spans="1:16" s="6" customFormat="1">
      <c r="A195" s="4"/>
      <c r="B195" s="4"/>
      <c r="C195" s="5"/>
      <c r="D195" s="28"/>
      <c r="L195" s="42"/>
      <c r="M195" s="42"/>
      <c r="N195" s="42"/>
      <c r="P195" s="158"/>
    </row>
    <row r="196" spans="1:16" s="6" customFormat="1">
      <c r="A196" s="4"/>
      <c r="B196" s="4"/>
      <c r="C196" s="5"/>
      <c r="D196" s="28"/>
      <c r="L196" s="42"/>
      <c r="M196" s="42"/>
      <c r="N196" s="42"/>
      <c r="P196" s="158"/>
    </row>
    <row r="197" spans="1:16" s="6" customFormat="1">
      <c r="A197" s="4"/>
      <c r="B197" s="4"/>
      <c r="C197" s="5"/>
      <c r="D197" s="28"/>
      <c r="L197" s="42"/>
      <c r="M197" s="42"/>
      <c r="N197" s="42"/>
      <c r="P197" s="158"/>
    </row>
    <row r="198" spans="1:16" s="6" customFormat="1">
      <c r="A198" s="4"/>
      <c r="B198" s="4"/>
      <c r="C198" s="5"/>
      <c r="D198" s="28"/>
      <c r="L198" s="42"/>
      <c r="M198" s="42"/>
      <c r="N198" s="42"/>
      <c r="P198" s="158"/>
    </row>
    <row r="199" spans="1:16" s="6" customFormat="1">
      <c r="A199" s="4"/>
      <c r="B199" s="4"/>
      <c r="C199" s="5"/>
      <c r="D199" s="28"/>
      <c r="L199" s="42"/>
      <c r="M199" s="42"/>
      <c r="N199" s="42"/>
      <c r="P199" s="158"/>
    </row>
    <row r="200" spans="1:16" s="6" customFormat="1">
      <c r="A200" s="4"/>
      <c r="B200" s="4"/>
      <c r="C200" s="5"/>
      <c r="D200" s="28"/>
      <c r="L200" s="42"/>
      <c r="M200" s="42"/>
      <c r="N200" s="42"/>
      <c r="P200" s="158"/>
    </row>
    <row r="201" spans="1:16" s="6" customFormat="1">
      <c r="A201" s="4"/>
      <c r="B201" s="4"/>
      <c r="C201" s="5"/>
      <c r="D201" s="28"/>
      <c r="L201" s="42"/>
      <c r="M201" s="42"/>
      <c r="N201" s="42"/>
      <c r="P201" s="158"/>
    </row>
    <row r="202" spans="1:16" s="6" customFormat="1">
      <c r="A202" s="4"/>
      <c r="B202" s="4"/>
      <c r="C202" s="5"/>
      <c r="D202" s="28"/>
      <c r="L202" s="42"/>
      <c r="M202" s="42"/>
      <c r="N202" s="42"/>
      <c r="P202" s="158"/>
    </row>
    <row r="203" spans="1:16" s="6" customFormat="1">
      <c r="A203" s="4"/>
      <c r="B203" s="4"/>
      <c r="C203" s="5"/>
      <c r="D203" s="28"/>
      <c r="L203" s="42"/>
      <c r="M203" s="42"/>
      <c r="N203" s="42"/>
      <c r="P203" s="158"/>
    </row>
    <row r="204" spans="1:16" s="6" customFormat="1">
      <c r="A204" s="4"/>
      <c r="B204" s="4"/>
      <c r="C204" s="5"/>
      <c r="D204" s="28"/>
      <c r="L204" s="42"/>
      <c r="M204" s="42"/>
      <c r="N204" s="42"/>
      <c r="P204" s="158"/>
    </row>
    <row r="205" spans="1:16" s="6" customFormat="1">
      <c r="A205" s="4"/>
      <c r="B205" s="4"/>
      <c r="C205" s="5"/>
      <c r="D205" s="28"/>
      <c r="L205" s="42"/>
      <c r="M205" s="42"/>
      <c r="N205" s="42"/>
      <c r="P205" s="158"/>
    </row>
    <row r="206" spans="1:16" s="6" customFormat="1">
      <c r="A206" s="4"/>
      <c r="B206" s="4"/>
      <c r="C206" s="5"/>
      <c r="D206" s="28"/>
      <c r="L206" s="42"/>
      <c r="M206" s="42"/>
      <c r="N206" s="42"/>
      <c r="P206" s="158"/>
    </row>
    <row r="207" spans="1:16" s="6" customFormat="1">
      <c r="A207" s="4"/>
      <c r="B207" s="4"/>
      <c r="C207" s="5"/>
      <c r="D207" s="28"/>
      <c r="L207" s="42"/>
      <c r="M207" s="42"/>
      <c r="N207" s="42"/>
      <c r="P207" s="158"/>
    </row>
    <row r="208" spans="1:16" s="6" customFormat="1">
      <c r="A208" s="4"/>
      <c r="B208" s="4"/>
      <c r="C208" s="5"/>
      <c r="D208" s="28"/>
      <c r="L208" s="42"/>
      <c r="M208" s="42"/>
      <c r="N208" s="42"/>
      <c r="P208" s="158"/>
    </row>
    <row r="209" spans="1:16" s="6" customFormat="1">
      <c r="A209" s="4"/>
      <c r="B209" s="4"/>
      <c r="C209" s="5"/>
      <c r="D209" s="28"/>
      <c r="L209" s="42"/>
      <c r="M209" s="42"/>
      <c r="N209" s="42"/>
      <c r="P209" s="158"/>
    </row>
    <row r="210" spans="1:16" s="6" customFormat="1">
      <c r="A210" s="4"/>
      <c r="B210" s="4"/>
      <c r="C210" s="5"/>
      <c r="D210" s="28"/>
      <c r="L210" s="42"/>
      <c r="M210" s="42"/>
      <c r="N210" s="42"/>
      <c r="P210" s="158"/>
    </row>
    <row r="211" spans="1:16" s="6" customFormat="1">
      <c r="A211" s="4"/>
      <c r="B211" s="4"/>
      <c r="C211" s="5"/>
      <c r="D211" s="28"/>
      <c r="L211" s="42"/>
      <c r="M211" s="42"/>
      <c r="N211" s="42"/>
      <c r="P211" s="158"/>
    </row>
    <row r="212" spans="1:16" s="6" customFormat="1">
      <c r="A212" s="4"/>
      <c r="B212" s="4"/>
      <c r="C212" s="5"/>
      <c r="D212" s="28"/>
      <c r="L212" s="42"/>
      <c r="M212" s="42"/>
      <c r="N212" s="42"/>
      <c r="P212" s="158"/>
    </row>
    <row r="213" spans="1:16" s="6" customFormat="1">
      <c r="A213" s="4"/>
      <c r="B213" s="4"/>
      <c r="C213" s="5"/>
      <c r="D213" s="28"/>
      <c r="L213" s="42"/>
      <c r="M213" s="42"/>
      <c r="N213" s="42"/>
      <c r="P213" s="158"/>
    </row>
    <row r="214" spans="1:16" s="6" customFormat="1">
      <c r="A214" s="4"/>
      <c r="B214" s="4"/>
      <c r="C214" s="5"/>
      <c r="D214" s="28"/>
      <c r="L214" s="42"/>
      <c r="M214" s="42"/>
      <c r="N214" s="42"/>
      <c r="P214" s="158"/>
    </row>
    <row r="215" spans="1:16" s="6" customFormat="1">
      <c r="A215" s="4"/>
      <c r="B215" s="4"/>
      <c r="C215" s="5"/>
      <c r="D215" s="28"/>
      <c r="L215" s="42"/>
      <c r="M215" s="42"/>
      <c r="N215" s="42"/>
      <c r="P215" s="158"/>
    </row>
    <row r="216" spans="1:16" s="6" customFormat="1">
      <c r="A216" s="4"/>
      <c r="B216" s="4"/>
      <c r="C216" s="5"/>
      <c r="D216" s="28"/>
      <c r="L216" s="42"/>
      <c r="M216" s="42"/>
      <c r="N216" s="42"/>
      <c r="P216" s="158"/>
    </row>
    <row r="217" spans="1:16" s="6" customFormat="1">
      <c r="A217" s="4"/>
      <c r="B217" s="4"/>
      <c r="C217" s="5"/>
      <c r="D217" s="28"/>
      <c r="L217" s="42"/>
      <c r="M217" s="42"/>
      <c r="N217" s="42"/>
      <c r="P217" s="158"/>
    </row>
    <row r="218" spans="1:16" s="6" customFormat="1">
      <c r="A218" s="4"/>
      <c r="B218" s="4"/>
      <c r="C218" s="5"/>
      <c r="D218" s="28"/>
      <c r="L218" s="42"/>
      <c r="M218" s="42"/>
      <c r="N218" s="42"/>
      <c r="P218" s="158"/>
    </row>
    <row r="219" spans="1:16" s="6" customFormat="1">
      <c r="A219" s="4"/>
      <c r="B219" s="4"/>
      <c r="C219" s="5"/>
      <c r="D219" s="28"/>
      <c r="L219" s="42"/>
      <c r="M219" s="42"/>
      <c r="N219" s="42"/>
      <c r="P219" s="158"/>
    </row>
  </sheetData>
  <mergeCells count="29">
    <mergeCell ref="D8:E8"/>
    <mergeCell ref="A9:C9"/>
    <mergeCell ref="A10:C10"/>
    <mergeCell ref="A13:B13"/>
    <mergeCell ref="C13:C14"/>
    <mergeCell ref="D13:D14"/>
    <mergeCell ref="A62:K62"/>
    <mergeCell ref="A33:A41"/>
    <mergeCell ref="B33:B41"/>
    <mergeCell ref="C33:C41"/>
    <mergeCell ref="C42:C44"/>
    <mergeCell ref="A42:A44"/>
    <mergeCell ref="B42:B44"/>
    <mergeCell ref="K1:N1"/>
    <mergeCell ref="K2:N2"/>
    <mergeCell ref="K3:N3"/>
    <mergeCell ref="K4:N4"/>
    <mergeCell ref="A51:A59"/>
    <mergeCell ref="B51:B59"/>
    <mergeCell ref="C51:C59"/>
    <mergeCell ref="A15:A23"/>
    <mergeCell ref="B15:B23"/>
    <mergeCell ref="C15:C23"/>
    <mergeCell ref="A24:A32"/>
    <mergeCell ref="B24:B32"/>
    <mergeCell ref="C24:C32"/>
    <mergeCell ref="E13:N13"/>
    <mergeCell ref="A6:J6"/>
    <mergeCell ref="A8:C8"/>
  </mergeCells>
  <printOptions horizontalCentered="1"/>
  <pageMargins left="0.15748031496062992" right="0.15748031496062992" top="0.11811023622047245" bottom="3.937007874015748E-2" header="0.27559055118110237" footer="0.15748031496062992"/>
  <pageSetup paperSize="9" scale="65" fitToHeight="3"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sheetPr>
    <tabColor theme="9" tint="0.39997558519241921"/>
  </sheetPr>
  <dimension ref="A1:Q219"/>
  <sheetViews>
    <sheetView topLeftCell="A13" zoomScale="90" zoomScaleNormal="90" workbookViewId="0">
      <pane xSplit="4" ySplit="2" topLeftCell="E15" activePane="bottomRight" state="frozen"/>
      <selection activeCell="A13" sqref="A13"/>
      <selection pane="topRight" activeCell="E13" sqref="E13"/>
      <selection pane="bottomLeft" activeCell="A15" sqref="A15"/>
      <selection pane="bottomRight" activeCell="R29" sqref="R29"/>
    </sheetView>
  </sheetViews>
  <sheetFormatPr defaultColWidth="9.140625" defaultRowHeight="15"/>
  <cols>
    <col min="1" max="1" width="6.28515625" style="4" customWidth="1"/>
    <col min="2" max="2" width="7" style="4" customWidth="1"/>
    <col min="3" max="3" width="36" style="5" customWidth="1"/>
    <col min="4" max="4" width="43" style="5" customWidth="1"/>
    <col min="5" max="5" width="11.5703125" style="6" customWidth="1"/>
    <col min="6" max="11" width="11.5703125" style="5" customWidth="1"/>
    <col min="12" max="14" width="11.5703125" style="147" customWidth="1"/>
    <col min="15" max="15" width="9.140625" style="5" hidden="1" customWidth="1"/>
    <col min="16" max="16" width="11.5703125" style="156" bestFit="1" customWidth="1"/>
    <col min="17" max="17" width="11.5703125" style="5" bestFit="1" customWidth="1"/>
    <col min="18" max="16384" width="9.140625" style="5"/>
  </cols>
  <sheetData>
    <row r="1" spans="1:16" s="2" customFormat="1" ht="21.75" customHeight="1">
      <c r="E1" s="3"/>
      <c r="F1" s="3"/>
      <c r="G1" s="441" t="s">
        <v>0</v>
      </c>
      <c r="H1" s="441"/>
      <c r="I1" s="441"/>
      <c r="J1" s="441"/>
      <c r="K1" s="441"/>
      <c r="L1" s="146"/>
      <c r="M1" s="146"/>
      <c r="N1" s="146"/>
      <c r="P1" s="155"/>
    </row>
    <row r="2" spans="1:16" s="2" customFormat="1" ht="54" customHeight="1">
      <c r="E2" s="3"/>
      <c r="F2" s="3"/>
      <c r="G2" s="441" t="s">
        <v>177</v>
      </c>
      <c r="H2" s="441"/>
      <c r="I2" s="441"/>
      <c r="J2" s="441"/>
      <c r="K2" s="441"/>
      <c r="L2" s="146"/>
      <c r="M2" s="146"/>
      <c r="N2" s="146"/>
      <c r="P2" s="155"/>
    </row>
    <row r="3" spans="1:16">
      <c r="G3" s="476" t="s">
        <v>459</v>
      </c>
      <c r="H3" s="476"/>
      <c r="I3" s="476"/>
      <c r="J3" s="476"/>
      <c r="K3" s="476"/>
    </row>
    <row r="4" spans="1:16" ht="49.5" customHeight="1">
      <c r="C4" s="7"/>
      <c r="G4" s="441" t="s">
        <v>178</v>
      </c>
      <c r="H4" s="441"/>
      <c r="I4" s="441"/>
      <c r="J4" s="441"/>
      <c r="K4" s="441"/>
    </row>
    <row r="6" spans="1:16" ht="17.25" customHeight="1">
      <c r="A6" s="487" t="s">
        <v>433</v>
      </c>
      <c r="B6" s="487"/>
      <c r="C6" s="487"/>
      <c r="D6" s="487"/>
      <c r="E6" s="487"/>
      <c r="F6" s="487"/>
      <c r="G6" s="487"/>
      <c r="H6" s="487"/>
      <c r="I6" s="487"/>
      <c r="J6" s="487"/>
    </row>
    <row r="7" spans="1:16" ht="16.5" customHeight="1">
      <c r="A7" s="8"/>
      <c r="B7" s="8"/>
      <c r="C7" s="9"/>
      <c r="D7" s="9"/>
    </row>
    <row r="8" spans="1:16">
      <c r="A8" s="465" t="s">
        <v>163</v>
      </c>
      <c r="B8" s="465"/>
      <c r="C8" s="488"/>
      <c r="D8" s="490" t="s">
        <v>434</v>
      </c>
      <c r="E8" s="490"/>
    </row>
    <row r="9" spans="1:16">
      <c r="A9" s="467"/>
      <c r="B9" s="491"/>
      <c r="C9" s="491"/>
      <c r="D9" s="10" t="s">
        <v>1</v>
      </c>
    </row>
    <row r="10" spans="1:16">
      <c r="A10" s="465" t="s">
        <v>165</v>
      </c>
      <c r="B10" s="465"/>
      <c r="C10" s="488" t="s">
        <v>435</v>
      </c>
      <c r="D10" s="11" t="s">
        <v>3</v>
      </c>
      <c r="E10" s="12"/>
    </row>
    <row r="11" spans="1:16">
      <c r="A11" s="13"/>
      <c r="B11" s="13"/>
      <c r="C11" s="10"/>
      <c r="D11" s="10" t="s">
        <v>4</v>
      </c>
    </row>
    <row r="12" spans="1:16">
      <c r="A12" s="14"/>
      <c r="B12" s="14"/>
      <c r="C12" s="15"/>
      <c r="D12" s="15"/>
    </row>
    <row r="13" spans="1:16" s="144" customFormat="1" ht="15" customHeight="1">
      <c r="A13" s="492" t="s">
        <v>5</v>
      </c>
      <c r="B13" s="493"/>
      <c r="C13" s="494" t="s">
        <v>436</v>
      </c>
      <c r="D13" s="494" t="s">
        <v>437</v>
      </c>
      <c r="E13" s="484" t="s">
        <v>438</v>
      </c>
      <c r="F13" s="485"/>
      <c r="G13" s="485"/>
      <c r="H13" s="485"/>
      <c r="I13" s="485"/>
      <c r="J13" s="485"/>
      <c r="K13" s="485"/>
      <c r="L13" s="485"/>
      <c r="M13" s="485"/>
      <c r="N13" s="486"/>
      <c r="P13" s="157"/>
    </row>
    <row r="14" spans="1:16" s="144" customFormat="1" ht="15" customHeight="1">
      <c r="A14" s="16" t="s">
        <v>6</v>
      </c>
      <c r="B14" s="17" t="s">
        <v>7</v>
      </c>
      <c r="C14" s="468" t="s">
        <v>166</v>
      </c>
      <c r="D14" s="468"/>
      <c r="E14" s="145" t="s">
        <v>167</v>
      </c>
      <c r="F14" s="145" t="s">
        <v>168</v>
      </c>
      <c r="G14" s="145" t="s">
        <v>169</v>
      </c>
      <c r="H14" s="145" t="s">
        <v>170</v>
      </c>
      <c r="I14" s="145" t="s">
        <v>171</v>
      </c>
      <c r="J14" s="145" t="s">
        <v>172</v>
      </c>
      <c r="K14" s="18" t="s">
        <v>173</v>
      </c>
      <c r="L14" s="148" t="s">
        <v>716</v>
      </c>
      <c r="M14" s="148" t="s">
        <v>717</v>
      </c>
      <c r="N14" s="148" t="s">
        <v>718</v>
      </c>
      <c r="P14" s="159"/>
    </row>
    <row r="15" spans="1:16" s="15" customFormat="1">
      <c r="A15" s="478" t="s">
        <v>10</v>
      </c>
      <c r="B15" s="478"/>
      <c r="C15" s="481" t="s">
        <v>439</v>
      </c>
      <c r="D15" s="19" t="s">
        <v>440</v>
      </c>
      <c r="E15" s="20">
        <f t="shared" ref="E15:K15" si="0">E16+E20+E21+E22+E23</f>
        <v>7690950.8600000003</v>
      </c>
      <c r="F15" s="20">
        <f t="shared" si="0"/>
        <v>7831917.25</v>
      </c>
      <c r="G15" s="20">
        <f t="shared" si="0"/>
        <v>7744893.0694399998</v>
      </c>
      <c r="H15" s="20">
        <f>H16+H20+H21+H22+H23</f>
        <v>8671606.7999999989</v>
      </c>
      <c r="I15" s="20">
        <f t="shared" si="0"/>
        <v>9284001.5</v>
      </c>
      <c r="J15" s="20">
        <f t="shared" si="0"/>
        <v>9019444.0000000019</v>
      </c>
      <c r="K15" s="20">
        <f t="shared" si="0"/>
        <v>9037010.8000000007</v>
      </c>
      <c r="L15" s="20">
        <f t="shared" ref="L15:M15" si="1">L16+L20+L21+L22+L23</f>
        <v>9398491.2319999989</v>
      </c>
      <c r="M15" s="20">
        <f t="shared" si="1"/>
        <v>9774430.8812800013</v>
      </c>
      <c r="N15" s="20">
        <f>N16+N20+N21+N22+N23</f>
        <v>10165408.216531202</v>
      </c>
      <c r="P15" s="160">
        <f>E15+F15+G15+H15+I15+J15+K15+L15+M15+N15</f>
        <v>88618154.609251201</v>
      </c>
    </row>
    <row r="16" spans="1:16" s="22" customFormat="1" ht="17.25" customHeight="1">
      <c r="A16" s="479"/>
      <c r="B16" s="479"/>
      <c r="C16" s="482"/>
      <c r="D16" s="19" t="s">
        <v>441</v>
      </c>
      <c r="E16" s="21">
        <f t="shared" ref="E16:K16" si="2">E25+E34+E43+E52</f>
        <v>7685015.4900000002</v>
      </c>
      <c r="F16" s="21">
        <f t="shared" si="2"/>
        <v>7816911.75</v>
      </c>
      <c r="G16" s="20">
        <f t="shared" si="2"/>
        <v>7739698.1694399994</v>
      </c>
      <c r="H16" s="21">
        <f t="shared" si="2"/>
        <v>8671606.7999999989</v>
      </c>
      <c r="I16" s="21">
        <f t="shared" si="2"/>
        <v>9284001.5</v>
      </c>
      <c r="J16" s="21">
        <f t="shared" si="2"/>
        <v>9019444.0000000019</v>
      </c>
      <c r="K16" s="21">
        <f t="shared" si="2"/>
        <v>9037010.8000000007</v>
      </c>
      <c r="L16" s="21">
        <f t="shared" ref="L16:M16" si="3">L25+L34+L43+L52</f>
        <v>9398491.2319999989</v>
      </c>
      <c r="M16" s="21">
        <f t="shared" si="3"/>
        <v>9774430.8812800013</v>
      </c>
      <c r="N16" s="21">
        <f>N25+N34+N43+N52+0.1</f>
        <v>10165408.216531202</v>
      </c>
      <c r="P16" s="160">
        <f>E16+F16+G16+H16+I16+J16+K16+L16+M16+N16</f>
        <v>88592018.839251205</v>
      </c>
    </row>
    <row r="17" spans="1:16" s="15" customFormat="1">
      <c r="A17" s="479"/>
      <c r="B17" s="479"/>
      <c r="C17" s="482"/>
      <c r="D17" s="19" t="s">
        <v>463</v>
      </c>
      <c r="E17" s="20">
        <v>0</v>
      </c>
      <c r="F17" s="20">
        <f>F35+F44+F53+F26</f>
        <v>24823.199999999997</v>
      </c>
      <c r="G17" s="20">
        <f>G26+G35+G44+G53</f>
        <v>195494.58056</v>
      </c>
      <c r="H17" s="20">
        <f>H26+H35+H44+H53</f>
        <v>77541.214070000002</v>
      </c>
      <c r="I17" s="20">
        <f>I26+I35+I44+I53</f>
        <v>337504.4</v>
      </c>
      <c r="J17" s="20">
        <f>J26+J35+J44+J53</f>
        <v>6636.2</v>
      </c>
      <c r="K17" s="20">
        <f>K26+K35+K44+K53</f>
        <v>6505.7</v>
      </c>
      <c r="L17" s="20">
        <f t="shared" ref="L17:N17" si="4">L26+L35+L44+L53</f>
        <v>6765.9279999999999</v>
      </c>
      <c r="M17" s="20">
        <f t="shared" si="4"/>
        <v>7036.5651200000002</v>
      </c>
      <c r="N17" s="20">
        <f t="shared" si="4"/>
        <v>7318.0277248000002</v>
      </c>
      <c r="P17" s="160">
        <f t="shared" ref="P17:P59" si="5">E17+F17+G17+H17+I17+J17+K17+L17+M17+N17</f>
        <v>669625.81547479995</v>
      </c>
    </row>
    <row r="18" spans="1:16" s="15" customFormat="1">
      <c r="A18" s="479"/>
      <c r="B18" s="479"/>
      <c r="C18" s="482"/>
      <c r="D18" s="19" t="s">
        <v>442</v>
      </c>
      <c r="E18" s="20">
        <f>E36+E45+E54+E27</f>
        <v>2678822.9</v>
      </c>
      <c r="F18" s="20">
        <f>F36+F54+F27</f>
        <v>2374224.7999999998</v>
      </c>
      <c r="G18" s="20">
        <f>ROUNDUP(G27+G36+G45+G54,1)</f>
        <v>1919259.1</v>
      </c>
      <c r="H18" s="20">
        <f>H27+H36+H45+H54</f>
        <v>2166406.9521699999</v>
      </c>
      <c r="I18" s="20">
        <f>I27+I36+I45+I54</f>
        <v>2762462</v>
      </c>
      <c r="J18" s="20">
        <f>J27+J36+J45+J54</f>
        <v>2892522.7</v>
      </c>
      <c r="K18" s="20">
        <f>K27+K36+K45+K54</f>
        <v>2945177.9</v>
      </c>
      <c r="L18" s="20">
        <f t="shared" ref="L18:N18" si="6">L27+L36+L45+L54</f>
        <v>3062985.0159999998</v>
      </c>
      <c r="M18" s="20">
        <f t="shared" si="6"/>
        <v>3185504.41664</v>
      </c>
      <c r="N18" s="20">
        <f t="shared" si="6"/>
        <v>3312924.5933055999</v>
      </c>
      <c r="P18" s="160">
        <f t="shared" si="5"/>
        <v>27300290.378115594</v>
      </c>
    </row>
    <row r="19" spans="1:16" s="15" customFormat="1" ht="30">
      <c r="A19" s="479"/>
      <c r="B19" s="479"/>
      <c r="C19" s="482"/>
      <c r="D19" s="19" t="s">
        <v>455</v>
      </c>
      <c r="E19" s="20">
        <v>0</v>
      </c>
      <c r="F19" s="20">
        <v>0</v>
      </c>
      <c r="G19" s="20">
        <v>0</v>
      </c>
      <c r="H19" s="20">
        <v>0</v>
      </c>
      <c r="I19" s="20">
        <f>I46</f>
        <v>39900</v>
      </c>
      <c r="J19" s="20">
        <v>0</v>
      </c>
      <c r="K19" s="20">
        <v>0</v>
      </c>
      <c r="L19" s="20">
        <v>0</v>
      </c>
      <c r="M19" s="20">
        <v>0</v>
      </c>
      <c r="N19" s="20">
        <v>0</v>
      </c>
      <c r="P19" s="160">
        <f t="shared" si="5"/>
        <v>39900</v>
      </c>
    </row>
    <row r="20" spans="1:16" s="15" customFormat="1" ht="30">
      <c r="A20" s="479"/>
      <c r="B20" s="479"/>
      <c r="C20" s="482"/>
      <c r="D20" s="19" t="s">
        <v>443</v>
      </c>
      <c r="E20" s="20">
        <v>0</v>
      </c>
      <c r="F20" s="20">
        <v>0</v>
      </c>
      <c r="G20" s="20">
        <v>0</v>
      </c>
      <c r="H20" s="20">
        <v>0</v>
      </c>
      <c r="I20" s="20">
        <v>0</v>
      </c>
      <c r="J20" s="20">
        <v>0</v>
      </c>
      <c r="K20" s="20">
        <v>0</v>
      </c>
      <c r="L20" s="20">
        <v>0</v>
      </c>
      <c r="M20" s="20">
        <v>0</v>
      </c>
      <c r="N20" s="20">
        <v>0</v>
      </c>
      <c r="P20" s="160">
        <f t="shared" si="5"/>
        <v>0</v>
      </c>
    </row>
    <row r="21" spans="1:16" s="15" customFormat="1" ht="45">
      <c r="A21" s="479"/>
      <c r="B21" s="479"/>
      <c r="C21" s="482"/>
      <c r="D21" s="19" t="s">
        <v>444</v>
      </c>
      <c r="E21" s="20">
        <f t="shared" ref="E21:F23" si="7">E39+E48+E57+E30</f>
        <v>0</v>
      </c>
      <c r="F21" s="20">
        <f t="shared" si="7"/>
        <v>0</v>
      </c>
      <c r="G21" s="20">
        <v>0</v>
      </c>
      <c r="H21" s="20">
        <v>0</v>
      </c>
      <c r="I21" s="20">
        <v>0</v>
      </c>
      <c r="J21" s="20">
        <v>0</v>
      </c>
      <c r="K21" s="20">
        <v>0</v>
      </c>
      <c r="L21" s="20">
        <v>0</v>
      </c>
      <c r="M21" s="20">
        <v>0</v>
      </c>
      <c r="N21" s="20">
        <v>0</v>
      </c>
      <c r="P21" s="160">
        <f t="shared" si="5"/>
        <v>0</v>
      </c>
    </row>
    <row r="22" spans="1:16" s="15" customFormat="1" ht="30">
      <c r="A22" s="479"/>
      <c r="B22" s="479"/>
      <c r="C22" s="482"/>
      <c r="D22" s="19" t="s">
        <v>445</v>
      </c>
      <c r="E22" s="20">
        <f t="shared" si="7"/>
        <v>5935.37</v>
      </c>
      <c r="F22" s="20">
        <f t="shared" si="7"/>
        <v>847.1</v>
      </c>
      <c r="G22" s="20">
        <v>0</v>
      </c>
      <c r="H22" s="20">
        <v>0</v>
      </c>
      <c r="I22" s="20">
        <v>0</v>
      </c>
      <c r="J22" s="20">
        <v>0</v>
      </c>
      <c r="K22" s="20">
        <v>0</v>
      </c>
      <c r="L22" s="20">
        <v>0</v>
      </c>
      <c r="M22" s="20">
        <v>0</v>
      </c>
      <c r="N22" s="20">
        <v>0</v>
      </c>
      <c r="P22" s="160">
        <f t="shared" si="5"/>
        <v>6782.47</v>
      </c>
    </row>
    <row r="23" spans="1:16" s="15" customFormat="1">
      <c r="A23" s="480"/>
      <c r="B23" s="480"/>
      <c r="C23" s="483"/>
      <c r="D23" s="19" t="s">
        <v>446</v>
      </c>
      <c r="E23" s="20">
        <f t="shared" si="7"/>
        <v>0</v>
      </c>
      <c r="F23" s="20">
        <f t="shared" si="7"/>
        <v>14158.4</v>
      </c>
      <c r="G23" s="20">
        <f>G41+G50+G59+G32</f>
        <v>5194.8999999999996</v>
      </c>
      <c r="H23" s="20">
        <f>H41+H50+H59+H32</f>
        <v>0</v>
      </c>
      <c r="I23" s="20">
        <f>I41+I50+I59+I32</f>
        <v>0</v>
      </c>
      <c r="J23" s="20">
        <f>J41+J50+J59+J32</f>
        <v>0</v>
      </c>
      <c r="K23" s="20">
        <f>K41+K50+K59+K32</f>
        <v>0</v>
      </c>
      <c r="L23" s="20">
        <f t="shared" ref="L23:N23" si="8">L41+L50+L59+L32</f>
        <v>0</v>
      </c>
      <c r="M23" s="20">
        <f t="shared" si="8"/>
        <v>0</v>
      </c>
      <c r="N23" s="20">
        <f t="shared" si="8"/>
        <v>0</v>
      </c>
      <c r="P23" s="160">
        <f t="shared" si="5"/>
        <v>19353.3</v>
      </c>
    </row>
    <row r="24" spans="1:16" s="15" customFormat="1" ht="15" customHeight="1">
      <c r="A24" s="478" t="s">
        <v>10</v>
      </c>
      <c r="B24" s="478" t="s">
        <v>11</v>
      </c>
      <c r="C24" s="481" t="s">
        <v>447</v>
      </c>
      <c r="D24" s="19" t="s">
        <v>440</v>
      </c>
      <c r="E24" s="20">
        <f>E25+E29</f>
        <v>3796137.6</v>
      </c>
      <c r="F24" s="20">
        <f>F25+F29</f>
        <v>4030027.5</v>
      </c>
      <c r="G24" s="20">
        <f>G25+G29+G30+G31+G32</f>
        <v>3659543.8</v>
      </c>
      <c r="H24" s="20">
        <f>H25+H29+H30+H31+H32</f>
        <v>3853914</v>
      </c>
      <c r="I24" s="20">
        <f t="shared" ref="I24:N24" si="9">I25+I29+I30+I31+I32</f>
        <v>3722080.5999999996</v>
      </c>
      <c r="J24" s="20">
        <f t="shared" si="9"/>
        <v>3726867.8</v>
      </c>
      <c r="K24" s="20">
        <f t="shared" si="9"/>
        <v>3732642.4</v>
      </c>
      <c r="L24" s="20">
        <f t="shared" si="9"/>
        <v>3881948.0959999999</v>
      </c>
      <c r="M24" s="20">
        <f t="shared" si="9"/>
        <v>4037226.0198400002</v>
      </c>
      <c r="N24" s="20">
        <f t="shared" si="9"/>
        <v>4198715.0606336007</v>
      </c>
      <c r="P24" s="160">
        <f t="shared" si="5"/>
        <v>38639102.876473598</v>
      </c>
    </row>
    <row r="25" spans="1:16" s="15" customFormat="1" ht="14.25" customHeight="1">
      <c r="A25" s="479"/>
      <c r="B25" s="479"/>
      <c r="C25" s="482"/>
      <c r="D25" s="19" t="s">
        <v>441</v>
      </c>
      <c r="E25" s="20">
        <v>3796137.6</v>
      </c>
      <c r="F25" s="20">
        <v>4030027.5</v>
      </c>
      <c r="G25" s="20">
        <v>3659543.8</v>
      </c>
      <c r="H25" s="20">
        <f>'ресурсн обеспечен  (2)'!O26</f>
        <v>3853914</v>
      </c>
      <c r="I25" s="20">
        <f>'ресурсн обеспечен  (2)'!P26</f>
        <v>3722080.5999999996</v>
      </c>
      <c r="J25" s="20">
        <f>'ресурсн обеспечен  (2)'!Q26</f>
        <v>3726867.8</v>
      </c>
      <c r="K25" s="20">
        <f>'ресурсн обеспечен  (2)'!R26</f>
        <v>3732642.4</v>
      </c>
      <c r="L25" s="20">
        <f>'ресурсн обеспечен  (2)'!S26</f>
        <v>3881948.0959999999</v>
      </c>
      <c r="M25" s="20">
        <f>'ресурсн обеспечен  (2)'!T26</f>
        <v>4037226.0198400002</v>
      </c>
      <c r="N25" s="20">
        <f>'ресурсн обеспечен  (2)'!U26</f>
        <v>4198715.0606336007</v>
      </c>
      <c r="P25" s="160">
        <f t="shared" si="5"/>
        <v>38639102.876473598</v>
      </c>
    </row>
    <row r="26" spans="1:16" s="15" customFormat="1">
      <c r="A26" s="479"/>
      <c r="B26" s="479"/>
      <c r="C26" s="482"/>
      <c r="D26" s="19" t="s">
        <v>463</v>
      </c>
      <c r="E26" s="20">
        <v>0</v>
      </c>
      <c r="F26" s="20">
        <v>0</v>
      </c>
      <c r="G26" s="20">
        <v>10309.39537</v>
      </c>
      <c r="H26" s="20">
        <v>9433.8173799999986</v>
      </c>
      <c r="I26" s="20">
        <v>6924.2</v>
      </c>
      <c r="J26" s="20">
        <v>6636.2</v>
      </c>
      <c r="K26" s="20">
        <v>6505.7</v>
      </c>
      <c r="L26" s="20">
        <f t="shared" ref="L26:N27" si="10">K26*1.04</f>
        <v>6765.9279999999999</v>
      </c>
      <c r="M26" s="20">
        <f t="shared" si="10"/>
        <v>7036.5651200000002</v>
      </c>
      <c r="N26" s="20">
        <f t="shared" si="10"/>
        <v>7318.0277248000002</v>
      </c>
      <c r="P26" s="160">
        <f t="shared" si="5"/>
        <v>60929.833594799995</v>
      </c>
    </row>
    <row r="27" spans="1:16" s="15" customFormat="1">
      <c r="A27" s="479"/>
      <c r="B27" s="479"/>
      <c r="C27" s="482"/>
      <c r="D27" s="19" t="s">
        <v>442</v>
      </c>
      <c r="E27" s="20">
        <v>2067131.5</v>
      </c>
      <c r="F27" s="20">
        <v>1758952.1999999997</v>
      </c>
      <c r="G27" s="20">
        <v>1319981.9645099998</v>
      </c>
      <c r="H27" s="20">
        <v>1436242.19355</v>
      </c>
      <c r="I27" s="20">
        <f>1272898.3-I26</f>
        <v>1265974.1000000001</v>
      </c>
      <c r="J27" s="20">
        <f>1279945.3-J26</f>
        <v>1273309.1000000001</v>
      </c>
      <c r="K27" s="20">
        <f>1285719.9-K26</f>
        <v>1279214.2</v>
      </c>
      <c r="L27" s="20">
        <f t="shared" si="10"/>
        <v>1330382.7679999999</v>
      </c>
      <c r="M27" s="20">
        <f t="shared" si="10"/>
        <v>1383598.0787199999</v>
      </c>
      <c r="N27" s="20">
        <f t="shared" si="10"/>
        <v>1438942.0018688</v>
      </c>
      <c r="P27" s="160">
        <f>E27+F27+G27+H27+I27+J27+K27+L27+M27+N27+0.1</f>
        <v>14553728.206648797</v>
      </c>
    </row>
    <row r="28" spans="1:16" s="15" customFormat="1" ht="30">
      <c r="A28" s="479"/>
      <c r="B28" s="479"/>
      <c r="C28" s="482"/>
      <c r="D28" s="19" t="s">
        <v>455</v>
      </c>
      <c r="E28" s="20">
        <v>0</v>
      </c>
      <c r="F28" s="20">
        <v>0</v>
      </c>
      <c r="G28" s="20">
        <v>0</v>
      </c>
      <c r="H28" s="20">
        <v>0</v>
      </c>
      <c r="I28" s="20">
        <v>0</v>
      </c>
      <c r="J28" s="20">
        <v>0</v>
      </c>
      <c r="K28" s="20">
        <v>0</v>
      </c>
      <c r="L28" s="20">
        <v>0</v>
      </c>
      <c r="M28" s="20">
        <v>0</v>
      </c>
      <c r="N28" s="20">
        <v>0</v>
      </c>
      <c r="P28" s="160">
        <f t="shared" si="5"/>
        <v>0</v>
      </c>
    </row>
    <row r="29" spans="1:16" s="15" customFormat="1" ht="30">
      <c r="A29" s="479"/>
      <c r="B29" s="479"/>
      <c r="C29" s="482"/>
      <c r="D29" s="19" t="s">
        <v>443</v>
      </c>
      <c r="E29" s="20">
        <v>0</v>
      </c>
      <c r="F29" s="20">
        <v>0</v>
      </c>
      <c r="G29" s="20">
        <v>0</v>
      </c>
      <c r="H29" s="20">
        <v>0</v>
      </c>
      <c r="I29" s="20">
        <v>0</v>
      </c>
      <c r="J29" s="20">
        <v>0</v>
      </c>
      <c r="K29" s="20">
        <v>0</v>
      </c>
      <c r="L29" s="20">
        <v>0</v>
      </c>
      <c r="M29" s="20">
        <v>0</v>
      </c>
      <c r="N29" s="20">
        <v>0</v>
      </c>
      <c r="P29" s="160">
        <f t="shared" si="5"/>
        <v>0</v>
      </c>
    </row>
    <row r="30" spans="1:16" s="15" customFormat="1" ht="45">
      <c r="A30" s="479"/>
      <c r="B30" s="479"/>
      <c r="C30" s="482"/>
      <c r="D30" s="19" t="s">
        <v>444</v>
      </c>
      <c r="E30" s="20">
        <v>0</v>
      </c>
      <c r="F30" s="20">
        <v>0</v>
      </c>
      <c r="G30" s="20">
        <v>0</v>
      </c>
      <c r="H30" s="20">
        <v>0</v>
      </c>
      <c r="I30" s="20">
        <v>0</v>
      </c>
      <c r="J30" s="20">
        <v>0</v>
      </c>
      <c r="K30" s="20">
        <v>0</v>
      </c>
      <c r="L30" s="20">
        <v>0</v>
      </c>
      <c r="M30" s="20">
        <v>0</v>
      </c>
      <c r="N30" s="20">
        <v>0</v>
      </c>
      <c r="P30" s="160">
        <f t="shared" si="5"/>
        <v>0</v>
      </c>
    </row>
    <row r="31" spans="1:16" s="15" customFormat="1" ht="30">
      <c r="A31" s="479"/>
      <c r="B31" s="479"/>
      <c r="C31" s="482"/>
      <c r="D31" s="19" t="s">
        <v>445</v>
      </c>
      <c r="E31" s="20">
        <v>0</v>
      </c>
      <c r="F31" s="20">
        <v>0</v>
      </c>
      <c r="G31" s="20">
        <v>0</v>
      </c>
      <c r="H31" s="20">
        <v>0</v>
      </c>
      <c r="I31" s="20">
        <v>0</v>
      </c>
      <c r="J31" s="20">
        <v>0</v>
      </c>
      <c r="K31" s="20">
        <v>0</v>
      </c>
      <c r="L31" s="20">
        <v>0</v>
      </c>
      <c r="M31" s="20">
        <v>0</v>
      </c>
      <c r="N31" s="20">
        <v>0</v>
      </c>
      <c r="P31" s="160">
        <f t="shared" si="5"/>
        <v>0</v>
      </c>
    </row>
    <row r="32" spans="1:16" s="15" customFormat="1">
      <c r="A32" s="480"/>
      <c r="B32" s="480"/>
      <c r="C32" s="483"/>
      <c r="D32" s="19" t="s">
        <v>446</v>
      </c>
      <c r="E32" s="20">
        <v>0</v>
      </c>
      <c r="F32" s="20">
        <v>0</v>
      </c>
      <c r="G32" s="20">
        <v>0</v>
      </c>
      <c r="H32" s="20">
        <v>0</v>
      </c>
      <c r="I32" s="20">
        <v>0</v>
      </c>
      <c r="J32" s="20">
        <v>0</v>
      </c>
      <c r="K32" s="20">
        <v>0</v>
      </c>
      <c r="L32" s="20">
        <v>0</v>
      </c>
      <c r="M32" s="20">
        <v>0</v>
      </c>
      <c r="N32" s="20">
        <v>0</v>
      </c>
      <c r="P32" s="160">
        <f t="shared" si="5"/>
        <v>0</v>
      </c>
    </row>
    <row r="33" spans="1:17" s="15" customFormat="1">
      <c r="A33" s="478" t="s">
        <v>10</v>
      </c>
      <c r="B33" s="478" t="s">
        <v>76</v>
      </c>
      <c r="C33" s="468" t="s">
        <v>448</v>
      </c>
      <c r="D33" s="19" t="s">
        <v>440</v>
      </c>
      <c r="E33" s="20">
        <f>E34+E38+E39+E40+E41</f>
        <v>1950521.87</v>
      </c>
      <c r="F33" s="20">
        <f>F34+F38+F39+J40+F41</f>
        <v>1660232.8</v>
      </c>
      <c r="G33" s="20">
        <f>G34+G38+G39+G40+G41</f>
        <v>1606069.2848100001</v>
      </c>
      <c r="H33" s="20">
        <f>H34+H38+H39+H40+H41</f>
        <v>1908793</v>
      </c>
      <c r="I33" s="20">
        <f t="shared" ref="I33:N33" si="11">I34+I38+I39+I40+I41</f>
        <v>2994446.1</v>
      </c>
      <c r="J33" s="20">
        <f t="shared" si="11"/>
        <v>2830485.6</v>
      </c>
      <c r="K33" s="20">
        <f t="shared" si="11"/>
        <v>2842277.8</v>
      </c>
      <c r="L33" s="20">
        <f t="shared" si="11"/>
        <v>2955968.912</v>
      </c>
      <c r="M33" s="20">
        <f t="shared" si="11"/>
        <v>3074207.66848</v>
      </c>
      <c r="N33" s="20">
        <f t="shared" si="11"/>
        <v>3197175.9752191999</v>
      </c>
      <c r="P33" s="160">
        <f t="shared" si="5"/>
        <v>25020179.010509204</v>
      </c>
    </row>
    <row r="34" spans="1:17" s="15" customFormat="1" ht="17.25" customHeight="1">
      <c r="A34" s="479"/>
      <c r="B34" s="479"/>
      <c r="C34" s="468"/>
      <c r="D34" s="19" t="s">
        <v>441</v>
      </c>
      <c r="E34" s="20">
        <f>'[5]ресурсн обеспечен'!L78</f>
        <v>1950521.87</v>
      </c>
      <c r="F34" s="20">
        <f>'[5]ресурсн обеспечен '!M78</f>
        <v>1660232.8</v>
      </c>
      <c r="G34" s="20">
        <f>'[5]ресурсн обеспечен '!N78</f>
        <v>1606069.2848100001</v>
      </c>
      <c r="H34" s="20">
        <f>'ресурсн обеспечен  (2)'!O79</f>
        <v>1908793</v>
      </c>
      <c r="I34" s="20">
        <f>'ресурсн обеспечен  (2)'!P79</f>
        <v>2994446.1</v>
      </c>
      <c r="J34" s="20">
        <f>'ресурсн обеспечен  (2)'!Q79</f>
        <v>2830485.6</v>
      </c>
      <c r="K34" s="20">
        <f>'ресурсн обеспечен  (2)'!R79</f>
        <v>2842277.8</v>
      </c>
      <c r="L34" s="20">
        <f>'ресурсн обеспечен  (2)'!S79</f>
        <v>2955968.912</v>
      </c>
      <c r="M34" s="20">
        <f>'ресурсн обеспечен  (2)'!T79</f>
        <v>3074207.66848</v>
      </c>
      <c r="N34" s="20">
        <f>'ресурсн обеспечен  (2)'!U79</f>
        <v>3197175.9752191999</v>
      </c>
      <c r="P34" s="160">
        <f t="shared" si="5"/>
        <v>25020179.010509204</v>
      </c>
    </row>
    <row r="35" spans="1:17" s="15" customFormat="1">
      <c r="A35" s="479"/>
      <c r="B35" s="479"/>
      <c r="C35" s="468"/>
      <c r="D35" s="19" t="s">
        <v>463</v>
      </c>
      <c r="E35" s="20">
        <v>0</v>
      </c>
      <c r="F35" s="20">
        <v>0</v>
      </c>
      <c r="G35" s="20">
        <v>0</v>
      </c>
      <c r="H35" s="20">
        <v>64804.096689999998</v>
      </c>
      <c r="I35" s="20">
        <v>330580.2</v>
      </c>
      <c r="J35" s="20">
        <v>0</v>
      </c>
      <c r="K35" s="20">
        <v>0</v>
      </c>
      <c r="L35" s="20">
        <v>0</v>
      </c>
      <c r="M35" s="20">
        <v>0</v>
      </c>
      <c r="N35" s="20">
        <v>0</v>
      </c>
      <c r="P35" s="160">
        <f t="shared" si="5"/>
        <v>395384.29668999999</v>
      </c>
    </row>
    <row r="36" spans="1:17" s="15" customFormat="1">
      <c r="A36" s="479"/>
      <c r="B36" s="479"/>
      <c r="C36" s="468"/>
      <c r="D36" s="19" t="s">
        <v>442</v>
      </c>
      <c r="E36" s="20">
        <f>'[5]ресурсн обеспечен'!L91+'[5]ресурсн обеспечен'!L99+'[5]ресурсн обеспечен'!L86+'[5]ресурсн обеспечен'!L87+'[5]ресурсн обеспечен'!L88+'[5]ресурсн обеспечен'!L89</f>
        <v>611691.4</v>
      </c>
      <c r="F36" s="20">
        <f>14471+547822.6+52975.2+0.7+3.1</f>
        <v>615272.59999999986</v>
      </c>
      <c r="G36" s="20">
        <v>599277.07781999989</v>
      </c>
      <c r="H36" s="20">
        <v>730164.7586200001</v>
      </c>
      <c r="I36" s="20">
        <f>1827068.1-I35</f>
        <v>1496487.9000000001</v>
      </c>
      <c r="J36" s="20">
        <v>1619213.6</v>
      </c>
      <c r="K36" s="20">
        <v>1665963.7</v>
      </c>
      <c r="L36" s="20">
        <f>K36*1.04</f>
        <v>1732602.2479999999</v>
      </c>
      <c r="M36" s="20">
        <f>L36*1.04</f>
        <v>1801906.3379200001</v>
      </c>
      <c r="N36" s="20">
        <f>M36*1.04</f>
        <v>1873982.5914368001</v>
      </c>
      <c r="P36" s="160">
        <f t="shared" si="5"/>
        <v>12746562.213796802</v>
      </c>
    </row>
    <row r="37" spans="1:17" s="15" customFormat="1" ht="30">
      <c r="A37" s="479"/>
      <c r="B37" s="479"/>
      <c r="C37" s="468"/>
      <c r="D37" s="19" t="s">
        <v>455</v>
      </c>
      <c r="E37" s="20">
        <v>0</v>
      </c>
      <c r="F37" s="20">
        <v>0</v>
      </c>
      <c r="G37" s="20">
        <v>0</v>
      </c>
      <c r="H37" s="20">
        <v>0</v>
      </c>
      <c r="I37" s="20">
        <v>0</v>
      </c>
      <c r="J37" s="20">
        <v>0</v>
      </c>
      <c r="K37" s="20">
        <v>0</v>
      </c>
      <c r="L37" s="20">
        <v>0</v>
      </c>
      <c r="M37" s="20">
        <v>0</v>
      </c>
      <c r="N37" s="20">
        <v>0</v>
      </c>
      <c r="P37" s="160">
        <f t="shared" si="5"/>
        <v>0</v>
      </c>
    </row>
    <row r="38" spans="1:17" s="15" customFormat="1" ht="30">
      <c r="A38" s="479"/>
      <c r="B38" s="479"/>
      <c r="C38" s="468"/>
      <c r="D38" s="19" t="s">
        <v>443</v>
      </c>
      <c r="E38" s="20">
        <v>0</v>
      </c>
      <c r="F38" s="20">
        <v>0</v>
      </c>
      <c r="G38" s="20">
        <v>0</v>
      </c>
      <c r="H38" s="20">
        <v>0</v>
      </c>
      <c r="I38" s="20">
        <v>0</v>
      </c>
      <c r="J38" s="20">
        <v>0</v>
      </c>
      <c r="K38" s="20">
        <v>0</v>
      </c>
      <c r="L38" s="20">
        <v>0</v>
      </c>
      <c r="M38" s="20">
        <v>0</v>
      </c>
      <c r="N38" s="20">
        <v>0</v>
      </c>
      <c r="P38" s="160">
        <f t="shared" si="5"/>
        <v>0</v>
      </c>
    </row>
    <row r="39" spans="1:17" s="15" customFormat="1" ht="45">
      <c r="A39" s="479"/>
      <c r="B39" s="479"/>
      <c r="C39" s="468"/>
      <c r="D39" s="19" t="s">
        <v>444</v>
      </c>
      <c r="E39" s="20">
        <v>0</v>
      </c>
      <c r="F39" s="20">
        <v>0</v>
      </c>
      <c r="G39" s="20">
        <v>0</v>
      </c>
      <c r="H39" s="20">
        <v>0</v>
      </c>
      <c r="I39" s="20">
        <v>0</v>
      </c>
      <c r="J39" s="20">
        <v>0</v>
      </c>
      <c r="K39" s="20">
        <v>0</v>
      </c>
      <c r="L39" s="20">
        <v>0</v>
      </c>
      <c r="M39" s="20">
        <v>0</v>
      </c>
      <c r="N39" s="20">
        <v>0</v>
      </c>
      <c r="P39" s="160">
        <f t="shared" si="5"/>
        <v>0</v>
      </c>
    </row>
    <row r="40" spans="1:17" s="15" customFormat="1" ht="30">
      <c r="A40" s="479"/>
      <c r="B40" s="479"/>
      <c r="C40" s="468"/>
      <c r="D40" s="19" t="s">
        <v>445</v>
      </c>
      <c r="E40" s="20">
        <v>0</v>
      </c>
      <c r="F40" s="20">
        <v>0</v>
      </c>
      <c r="G40" s="20">
        <v>0</v>
      </c>
      <c r="H40" s="20">
        <v>0</v>
      </c>
      <c r="I40" s="20">
        <v>0</v>
      </c>
      <c r="J40" s="20">
        <v>0</v>
      </c>
      <c r="K40" s="20">
        <v>0</v>
      </c>
      <c r="L40" s="20">
        <v>0</v>
      </c>
      <c r="M40" s="20">
        <v>0</v>
      </c>
      <c r="N40" s="20">
        <v>0</v>
      </c>
      <c r="P40" s="160">
        <f t="shared" si="5"/>
        <v>0</v>
      </c>
    </row>
    <row r="41" spans="1:17" s="15" customFormat="1">
      <c r="A41" s="480"/>
      <c r="B41" s="480"/>
      <c r="C41" s="468"/>
      <c r="D41" s="19" t="s">
        <v>446</v>
      </c>
      <c r="E41" s="20">
        <v>0</v>
      </c>
      <c r="F41" s="20">
        <v>0</v>
      </c>
      <c r="G41" s="20">
        <v>0</v>
      </c>
      <c r="H41" s="20">
        <v>0</v>
      </c>
      <c r="I41" s="20">
        <v>0</v>
      </c>
      <c r="J41" s="20">
        <v>0</v>
      </c>
      <c r="K41" s="20">
        <v>0</v>
      </c>
      <c r="L41" s="20">
        <v>0</v>
      </c>
      <c r="M41" s="20">
        <v>0</v>
      </c>
      <c r="N41" s="20">
        <v>0</v>
      </c>
      <c r="P41" s="160">
        <f t="shared" si="5"/>
        <v>0</v>
      </c>
    </row>
    <row r="42" spans="1:17" s="15" customFormat="1">
      <c r="A42" s="478" t="s">
        <v>10</v>
      </c>
      <c r="B42" s="478" t="s">
        <v>111</v>
      </c>
      <c r="C42" s="468" t="s">
        <v>449</v>
      </c>
      <c r="D42" s="19" t="s">
        <v>440</v>
      </c>
      <c r="E42" s="20">
        <f t="shared" ref="E42:H42" si="12">E43+E47+E48+E49+E50</f>
        <v>1614713.3899999997</v>
      </c>
      <c r="F42" s="20">
        <f t="shared" si="12"/>
        <v>1774189.1500000001</v>
      </c>
      <c r="G42" s="20">
        <f t="shared" si="12"/>
        <v>2149396.4846299998</v>
      </c>
      <c r="H42" s="20">
        <f t="shared" si="12"/>
        <v>2489842.6</v>
      </c>
      <c r="I42" s="20">
        <f t="shared" ref="I42:K42" si="13">I43+I47+I48+I49+I50</f>
        <v>2212576.5</v>
      </c>
      <c r="J42" s="20">
        <f t="shared" si="13"/>
        <v>2115367.8000000003</v>
      </c>
      <c r="K42" s="20">
        <f t="shared" si="13"/>
        <v>2115367.8000000003</v>
      </c>
      <c r="L42" s="20">
        <f t="shared" ref="L42:N42" si="14">L43+L47+L48+L49+L50</f>
        <v>2199982.5120000006</v>
      </c>
      <c r="M42" s="20">
        <f t="shared" si="14"/>
        <v>2287981.8124800008</v>
      </c>
      <c r="N42" s="20">
        <f t="shared" si="14"/>
        <v>2379501.0849792007</v>
      </c>
      <c r="P42" s="160">
        <f t="shared" si="5"/>
        <v>21338919.134089202</v>
      </c>
      <c r="Q42" s="42"/>
    </row>
    <row r="43" spans="1:17" s="15" customFormat="1" ht="18" customHeight="1">
      <c r="A43" s="479"/>
      <c r="B43" s="479"/>
      <c r="C43" s="468"/>
      <c r="D43" s="19" t="s">
        <v>441</v>
      </c>
      <c r="E43" s="20">
        <f>'[5]ресурсн обеспечен'!L127</f>
        <v>1608778.0199999996</v>
      </c>
      <c r="F43" s="20">
        <f>'[5]ресурсн обеспечен '!M128</f>
        <v>1759183.6500000001</v>
      </c>
      <c r="G43" s="20">
        <f>'[5]ресурсн обеспечен '!N128</f>
        <v>2144201.5846299999</v>
      </c>
      <c r="H43" s="20">
        <f>'ресурсн обеспечен  (2)'!O133</f>
        <v>2489842.6</v>
      </c>
      <c r="I43" s="20">
        <f>'ресурсн обеспечен  (2)'!P133</f>
        <v>2212576.5</v>
      </c>
      <c r="J43" s="20">
        <f>'ресурсн обеспечен  (2)'!Q133</f>
        <v>2115367.8000000003</v>
      </c>
      <c r="K43" s="20">
        <f>'ресурсн обеспечен  (2)'!R133</f>
        <v>2115367.8000000003</v>
      </c>
      <c r="L43" s="20">
        <f>'ресурсн обеспечен  (2)'!S133</f>
        <v>2199982.5120000006</v>
      </c>
      <c r="M43" s="20">
        <f>'ресурсн обеспечен  (2)'!T133</f>
        <v>2287981.8124800008</v>
      </c>
      <c r="N43" s="20">
        <f>'ресурсн обеспечен  (2)'!U133</f>
        <v>2379501.0849792007</v>
      </c>
      <c r="P43" s="160">
        <f t="shared" si="5"/>
        <v>21312783.364089198</v>
      </c>
    </row>
    <row r="44" spans="1:17">
      <c r="A44" s="479"/>
      <c r="B44" s="479"/>
      <c r="C44" s="468"/>
      <c r="D44" s="19" t="s">
        <v>463</v>
      </c>
      <c r="E44" s="20">
        <v>0</v>
      </c>
      <c r="F44" s="20">
        <f>792.4+4443.1+2470.7+1482.4+1482.4+1682.4+12469.8</f>
        <v>24823.199999999997</v>
      </c>
      <c r="G44" s="20">
        <v>185185.18518999999</v>
      </c>
      <c r="H44" s="20">
        <f>[6]ЦСР!$BO$85</f>
        <v>3303.3</v>
      </c>
      <c r="I44" s="20">
        <v>0</v>
      </c>
      <c r="J44" s="20">
        <v>0</v>
      </c>
      <c r="K44" s="20">
        <v>0</v>
      </c>
      <c r="L44" s="20">
        <v>0</v>
      </c>
      <c r="M44" s="20">
        <v>0</v>
      </c>
      <c r="N44" s="20">
        <v>0</v>
      </c>
      <c r="P44" s="160">
        <f t="shared" si="5"/>
        <v>213311.68518999999</v>
      </c>
    </row>
    <row r="45" spans="1:17">
      <c r="A45" s="479"/>
      <c r="B45" s="479"/>
      <c r="C45" s="468"/>
      <c r="D45" s="19" t="s">
        <v>442</v>
      </c>
      <c r="E45" s="20">
        <v>0</v>
      </c>
      <c r="F45" s="20">
        <v>0</v>
      </c>
      <c r="G45" s="20">
        <v>0</v>
      </c>
      <c r="H45" s="20">
        <v>0</v>
      </c>
      <c r="I45" s="20">
        <v>0</v>
      </c>
      <c r="J45" s="20">
        <v>0</v>
      </c>
      <c r="K45" s="20">
        <v>0</v>
      </c>
      <c r="L45" s="20">
        <v>0</v>
      </c>
      <c r="M45" s="20">
        <v>0</v>
      </c>
      <c r="N45" s="20">
        <v>0</v>
      </c>
      <c r="P45" s="160">
        <f t="shared" si="5"/>
        <v>0</v>
      </c>
    </row>
    <row r="46" spans="1:17" ht="30">
      <c r="A46" s="479"/>
      <c r="B46" s="479"/>
      <c r="C46" s="468"/>
      <c r="D46" s="19" t="s">
        <v>455</v>
      </c>
      <c r="E46" s="20">
        <v>0</v>
      </c>
      <c r="F46" s="20">
        <v>0</v>
      </c>
      <c r="G46" s="20">
        <v>0</v>
      </c>
      <c r="H46" s="20">
        <v>0</v>
      </c>
      <c r="I46" s="20">
        <v>39900</v>
      </c>
      <c r="J46" s="20">
        <v>0</v>
      </c>
      <c r="K46" s="20">
        <v>0</v>
      </c>
      <c r="L46" s="20">
        <v>0</v>
      </c>
      <c r="M46" s="20">
        <v>0</v>
      </c>
      <c r="N46" s="20">
        <v>0</v>
      </c>
      <c r="P46" s="160">
        <f t="shared" si="5"/>
        <v>39900</v>
      </c>
    </row>
    <row r="47" spans="1:17" ht="30">
      <c r="A47" s="479"/>
      <c r="B47" s="479"/>
      <c r="C47" s="468"/>
      <c r="D47" s="19" t="s">
        <v>443</v>
      </c>
      <c r="E47" s="20">
        <v>0</v>
      </c>
      <c r="F47" s="20">
        <v>0</v>
      </c>
      <c r="G47" s="20">
        <v>0</v>
      </c>
      <c r="H47" s="20">
        <v>0</v>
      </c>
      <c r="I47" s="20">
        <v>0</v>
      </c>
      <c r="J47" s="20">
        <v>0</v>
      </c>
      <c r="K47" s="20">
        <v>0</v>
      </c>
      <c r="L47" s="20">
        <v>0</v>
      </c>
      <c r="M47" s="20">
        <v>0</v>
      </c>
      <c r="N47" s="20">
        <v>0</v>
      </c>
      <c r="P47" s="160">
        <f t="shared" si="5"/>
        <v>0</v>
      </c>
    </row>
    <row r="48" spans="1:17" ht="45">
      <c r="A48" s="479"/>
      <c r="B48" s="479"/>
      <c r="C48" s="468"/>
      <c r="D48" s="19" t="s">
        <v>444</v>
      </c>
      <c r="E48" s="20">
        <v>0</v>
      </c>
      <c r="F48" s="20">
        <v>0</v>
      </c>
      <c r="G48" s="20">
        <v>0</v>
      </c>
      <c r="H48" s="20">
        <v>0</v>
      </c>
      <c r="I48" s="20">
        <v>0</v>
      </c>
      <c r="J48" s="20">
        <v>0</v>
      </c>
      <c r="K48" s="20">
        <v>0</v>
      </c>
      <c r="L48" s="20">
        <v>0</v>
      </c>
      <c r="M48" s="20">
        <v>0</v>
      </c>
      <c r="N48" s="20">
        <v>0</v>
      </c>
      <c r="P48" s="160">
        <f t="shared" si="5"/>
        <v>0</v>
      </c>
    </row>
    <row r="49" spans="1:16" s="24" customFormat="1" ht="30">
      <c r="A49" s="479"/>
      <c r="B49" s="479"/>
      <c r="C49" s="468"/>
      <c r="D49" s="19" t="s">
        <v>445</v>
      </c>
      <c r="E49" s="23">
        <v>5935.37</v>
      </c>
      <c r="F49" s="23">
        <v>847.1</v>
      </c>
      <c r="G49" s="20">
        <v>0</v>
      </c>
      <c r="H49" s="20">
        <v>0</v>
      </c>
      <c r="I49" s="20">
        <v>0</v>
      </c>
      <c r="J49" s="20">
        <v>0</v>
      </c>
      <c r="K49" s="20">
        <v>0</v>
      </c>
      <c r="L49" s="20">
        <v>0</v>
      </c>
      <c r="M49" s="20">
        <v>0</v>
      </c>
      <c r="N49" s="20">
        <v>0</v>
      </c>
      <c r="P49" s="160">
        <f t="shared" si="5"/>
        <v>6782.47</v>
      </c>
    </row>
    <row r="50" spans="1:16">
      <c r="A50" s="480"/>
      <c r="B50" s="480"/>
      <c r="C50" s="468"/>
      <c r="D50" s="19" t="s">
        <v>446</v>
      </c>
      <c r="E50" s="20">
        <f>'[5]ресурсн обеспечен'!L164</f>
        <v>0</v>
      </c>
      <c r="F50" s="23">
        <f>5356.8+8235.2+566.4</f>
        <v>14158.4</v>
      </c>
      <c r="G50" s="20">
        <f>'[7]02132000040'!$AD$191/1000</f>
        <v>5194.8999999999996</v>
      </c>
      <c r="H50" s="20">
        <v>0</v>
      </c>
      <c r="I50" s="20">
        <v>0</v>
      </c>
      <c r="J50" s="20">
        <v>0</v>
      </c>
      <c r="K50" s="20">
        <v>0</v>
      </c>
      <c r="L50" s="20">
        <v>0</v>
      </c>
      <c r="M50" s="20">
        <v>0</v>
      </c>
      <c r="N50" s="20">
        <v>0</v>
      </c>
      <c r="P50" s="160">
        <f t="shared" si="5"/>
        <v>19353.3</v>
      </c>
    </row>
    <row r="51" spans="1:16">
      <c r="A51" s="478" t="s">
        <v>10</v>
      </c>
      <c r="B51" s="478" t="s">
        <v>151</v>
      </c>
      <c r="C51" s="468" t="s">
        <v>450</v>
      </c>
      <c r="D51" s="19" t="s">
        <v>440</v>
      </c>
      <c r="E51" s="20">
        <f>E52+E56</f>
        <v>329578</v>
      </c>
      <c r="F51" s="20">
        <f>F52+F56</f>
        <v>367467.80000000005</v>
      </c>
      <c r="G51" s="20">
        <f>G52+G56+G57+G58+G59</f>
        <v>329883.5</v>
      </c>
      <c r="H51" s="20">
        <f>H52+H56+H57+H58+H59</f>
        <v>419057.2</v>
      </c>
      <c r="I51" s="20">
        <f t="shared" ref="I51:K51" si="15">I52+I56+I57+I58+I59</f>
        <v>354898.30000000005</v>
      </c>
      <c r="J51" s="20">
        <f t="shared" si="15"/>
        <v>346722.8</v>
      </c>
      <c r="K51" s="20">
        <f t="shared" si="15"/>
        <v>346722.8</v>
      </c>
      <c r="L51" s="20">
        <f t="shared" ref="L51:N51" si="16">L52+L56+L57+L58+L59</f>
        <v>360591.712</v>
      </c>
      <c r="M51" s="20">
        <f t="shared" si="16"/>
        <v>375015.38047999999</v>
      </c>
      <c r="N51" s="20">
        <f t="shared" si="16"/>
        <v>390015.99569920002</v>
      </c>
      <c r="P51" s="160">
        <f t="shared" si="5"/>
        <v>3619953.4881791994</v>
      </c>
    </row>
    <row r="52" spans="1:16" ht="21.75" customHeight="1">
      <c r="A52" s="479"/>
      <c r="B52" s="479"/>
      <c r="C52" s="468"/>
      <c r="D52" s="19" t="s">
        <v>441</v>
      </c>
      <c r="E52" s="20">
        <v>329578</v>
      </c>
      <c r="F52" s="20">
        <v>367467.80000000005</v>
      </c>
      <c r="G52" s="20">
        <v>329883.5</v>
      </c>
      <c r="H52" s="20">
        <f>'ресурсн обеспечен  (2)'!O231</f>
        <v>419057.2</v>
      </c>
      <c r="I52" s="20">
        <f>'ресурсн обеспечен  (2)'!P231</f>
        <v>354898.30000000005</v>
      </c>
      <c r="J52" s="20">
        <f>'ресурсн обеспечен  (2)'!Q231</f>
        <v>346722.8</v>
      </c>
      <c r="K52" s="20">
        <f>'ресурсн обеспечен  (2)'!R231</f>
        <v>346722.8</v>
      </c>
      <c r="L52" s="20">
        <f>'ресурсн обеспечен  (2)'!S231</f>
        <v>360591.712</v>
      </c>
      <c r="M52" s="20">
        <f>'ресурсн обеспечен  (2)'!T231</f>
        <v>375015.38047999999</v>
      </c>
      <c r="N52" s="20">
        <f>'ресурсн обеспечен  (2)'!U231</f>
        <v>390015.99569920002</v>
      </c>
      <c r="P52" s="160">
        <f t="shared" si="5"/>
        <v>3619953.4881791994</v>
      </c>
    </row>
    <row r="53" spans="1:16">
      <c r="A53" s="479"/>
      <c r="B53" s="479"/>
      <c r="C53" s="468"/>
      <c r="D53" s="19" t="s">
        <v>463</v>
      </c>
      <c r="E53" s="20">
        <v>0</v>
      </c>
      <c r="F53" s="20">
        <v>0</v>
      </c>
      <c r="G53" s="20">
        <v>0</v>
      </c>
      <c r="H53" s="20">
        <v>0</v>
      </c>
      <c r="I53" s="20">
        <v>0</v>
      </c>
      <c r="J53" s="20">
        <v>0</v>
      </c>
      <c r="K53" s="20">
        <v>0</v>
      </c>
      <c r="L53" s="20">
        <v>0</v>
      </c>
      <c r="M53" s="20">
        <v>0</v>
      </c>
      <c r="N53" s="20">
        <v>0</v>
      </c>
      <c r="P53" s="160">
        <f t="shared" si="5"/>
        <v>0</v>
      </c>
    </row>
    <row r="54" spans="1:16">
      <c r="A54" s="479"/>
      <c r="B54" s="479"/>
      <c r="C54" s="468"/>
      <c r="D54" s="19" t="s">
        <v>442</v>
      </c>
      <c r="E54" s="20">
        <v>0</v>
      </c>
      <c r="F54" s="20">
        <v>0</v>
      </c>
      <c r="G54" s="20">
        <v>0</v>
      </c>
      <c r="H54" s="20">
        <v>0</v>
      </c>
      <c r="I54" s="20">
        <v>0</v>
      </c>
      <c r="J54" s="20">
        <v>0</v>
      </c>
      <c r="K54" s="20">
        <v>0</v>
      </c>
      <c r="L54" s="20">
        <v>0</v>
      </c>
      <c r="M54" s="20">
        <v>0</v>
      </c>
      <c r="N54" s="20">
        <v>0</v>
      </c>
      <c r="P54" s="160">
        <f t="shared" si="5"/>
        <v>0</v>
      </c>
    </row>
    <row r="55" spans="1:16" ht="30">
      <c r="A55" s="479"/>
      <c r="B55" s="479"/>
      <c r="C55" s="468"/>
      <c r="D55" s="19" t="s">
        <v>455</v>
      </c>
      <c r="E55" s="20">
        <v>0</v>
      </c>
      <c r="F55" s="20">
        <v>0</v>
      </c>
      <c r="G55" s="20">
        <v>0</v>
      </c>
      <c r="H55" s="20">
        <v>0</v>
      </c>
      <c r="I55" s="20">
        <v>0</v>
      </c>
      <c r="J55" s="20">
        <v>0</v>
      </c>
      <c r="K55" s="20">
        <v>0</v>
      </c>
      <c r="L55" s="20">
        <v>0</v>
      </c>
      <c r="M55" s="20">
        <v>0</v>
      </c>
      <c r="N55" s="20">
        <v>0</v>
      </c>
      <c r="P55" s="160">
        <f t="shared" si="5"/>
        <v>0</v>
      </c>
    </row>
    <row r="56" spans="1:16" ht="30">
      <c r="A56" s="479"/>
      <c r="B56" s="479"/>
      <c r="C56" s="468"/>
      <c r="D56" s="19" t="s">
        <v>443</v>
      </c>
      <c r="E56" s="20">
        <v>0</v>
      </c>
      <c r="F56" s="20">
        <v>0</v>
      </c>
      <c r="G56" s="20">
        <v>0</v>
      </c>
      <c r="H56" s="20">
        <v>0</v>
      </c>
      <c r="I56" s="20">
        <v>0</v>
      </c>
      <c r="J56" s="20">
        <v>0</v>
      </c>
      <c r="K56" s="20">
        <v>0</v>
      </c>
      <c r="L56" s="20">
        <v>0</v>
      </c>
      <c r="M56" s="20">
        <v>0</v>
      </c>
      <c r="N56" s="20">
        <v>0</v>
      </c>
      <c r="P56" s="160">
        <f t="shared" si="5"/>
        <v>0</v>
      </c>
    </row>
    <row r="57" spans="1:16" ht="45">
      <c r="A57" s="479"/>
      <c r="B57" s="479"/>
      <c r="C57" s="468"/>
      <c r="D57" s="19" t="s">
        <v>444</v>
      </c>
      <c r="E57" s="20">
        <v>0</v>
      </c>
      <c r="F57" s="20">
        <v>0</v>
      </c>
      <c r="G57" s="20">
        <v>0</v>
      </c>
      <c r="H57" s="20">
        <v>0</v>
      </c>
      <c r="I57" s="20">
        <v>0</v>
      </c>
      <c r="J57" s="20">
        <v>0</v>
      </c>
      <c r="K57" s="20">
        <v>0</v>
      </c>
      <c r="L57" s="20">
        <v>0</v>
      </c>
      <c r="M57" s="20">
        <v>0</v>
      </c>
      <c r="N57" s="20">
        <v>0</v>
      </c>
      <c r="P57" s="160">
        <f t="shared" si="5"/>
        <v>0</v>
      </c>
    </row>
    <row r="58" spans="1:16" ht="30">
      <c r="A58" s="479"/>
      <c r="B58" s="479"/>
      <c r="C58" s="468"/>
      <c r="D58" s="19" t="s">
        <v>445</v>
      </c>
      <c r="E58" s="20">
        <v>0</v>
      </c>
      <c r="F58" s="20">
        <v>0</v>
      </c>
      <c r="G58" s="20">
        <v>0</v>
      </c>
      <c r="H58" s="20">
        <v>0</v>
      </c>
      <c r="I58" s="20">
        <v>0</v>
      </c>
      <c r="J58" s="20">
        <v>0</v>
      </c>
      <c r="K58" s="20">
        <v>0</v>
      </c>
      <c r="L58" s="20">
        <v>0</v>
      </c>
      <c r="M58" s="20">
        <v>0</v>
      </c>
      <c r="N58" s="20">
        <v>0</v>
      </c>
      <c r="P58" s="160">
        <f t="shared" si="5"/>
        <v>0</v>
      </c>
    </row>
    <row r="59" spans="1:16">
      <c r="A59" s="480"/>
      <c r="B59" s="480"/>
      <c r="C59" s="468"/>
      <c r="D59" s="19" t="s">
        <v>446</v>
      </c>
      <c r="E59" s="20">
        <v>0</v>
      </c>
      <c r="F59" s="20">
        <v>0</v>
      </c>
      <c r="G59" s="20">
        <v>0</v>
      </c>
      <c r="H59" s="20">
        <v>0</v>
      </c>
      <c r="I59" s="20">
        <v>0</v>
      </c>
      <c r="J59" s="20">
        <v>0</v>
      </c>
      <c r="K59" s="20">
        <v>0</v>
      </c>
      <c r="L59" s="20">
        <v>0</v>
      </c>
      <c r="M59" s="20">
        <v>0</v>
      </c>
      <c r="N59" s="20">
        <v>0</v>
      </c>
      <c r="P59" s="160">
        <f t="shared" si="5"/>
        <v>0</v>
      </c>
    </row>
    <row r="60" spans="1:16">
      <c r="A60" s="25"/>
      <c r="B60" s="25"/>
      <c r="C60" s="26"/>
      <c r="D60" s="26"/>
    </row>
    <row r="61" spans="1:16" ht="6" customHeight="1">
      <c r="A61" s="25"/>
      <c r="B61" s="25"/>
      <c r="C61" s="26"/>
      <c r="D61" s="26"/>
    </row>
    <row r="62" spans="1:16">
      <c r="A62" s="489" t="s">
        <v>460</v>
      </c>
      <c r="B62" s="489"/>
      <c r="C62" s="489"/>
      <c r="D62" s="489"/>
      <c r="E62" s="489"/>
      <c r="F62" s="489"/>
      <c r="G62" s="489"/>
      <c r="H62" s="489"/>
      <c r="I62" s="489"/>
      <c r="J62" s="489"/>
      <c r="K62" s="489"/>
    </row>
    <row r="63" spans="1:16">
      <c r="A63" s="25"/>
      <c r="B63" s="25"/>
      <c r="C63" s="26"/>
      <c r="D63" s="26"/>
    </row>
    <row r="64" spans="1:16">
      <c r="A64" s="25"/>
      <c r="B64" s="25"/>
      <c r="C64" s="26"/>
      <c r="D64" s="26"/>
    </row>
    <row r="65" spans="1:16">
      <c r="A65" s="25"/>
      <c r="B65" s="25"/>
      <c r="C65" s="26"/>
      <c r="D65" s="26"/>
    </row>
    <row r="66" spans="1:16">
      <c r="A66" s="25"/>
      <c r="B66" s="25"/>
      <c r="C66" s="26"/>
      <c r="D66" s="26"/>
    </row>
    <row r="67" spans="1:16">
      <c r="A67" s="25"/>
      <c r="B67" s="25"/>
      <c r="C67" s="26"/>
      <c r="D67" s="26"/>
    </row>
    <row r="68" spans="1:16">
      <c r="A68" s="25"/>
      <c r="B68" s="25"/>
      <c r="C68" s="26"/>
      <c r="D68" s="26"/>
    </row>
    <row r="69" spans="1:16">
      <c r="A69" s="25"/>
      <c r="B69" s="25"/>
      <c r="C69" s="26"/>
      <c r="D69" s="26"/>
    </row>
    <row r="70" spans="1:16">
      <c r="A70" s="25"/>
      <c r="B70" s="25"/>
      <c r="C70" s="26"/>
      <c r="D70" s="26"/>
    </row>
    <row r="71" spans="1:16">
      <c r="A71" s="25"/>
      <c r="B71" s="25"/>
      <c r="C71" s="26"/>
      <c r="D71" s="26"/>
    </row>
    <row r="72" spans="1:16" s="6" customFormat="1">
      <c r="A72" s="25"/>
      <c r="B72" s="25"/>
      <c r="C72" s="26"/>
      <c r="D72" s="26"/>
      <c r="L72" s="42"/>
      <c r="M72" s="42"/>
      <c r="N72" s="42"/>
      <c r="P72" s="158"/>
    </row>
    <row r="73" spans="1:16" s="6" customFormat="1">
      <c r="A73" s="25"/>
      <c r="B73" s="25"/>
      <c r="C73" s="26"/>
      <c r="D73" s="26"/>
      <c r="L73" s="42"/>
      <c r="M73" s="42"/>
      <c r="N73" s="42"/>
      <c r="P73" s="158"/>
    </row>
    <row r="74" spans="1:16" s="6" customFormat="1">
      <c r="A74" s="25"/>
      <c r="B74" s="25"/>
      <c r="C74" s="26"/>
      <c r="D74" s="26"/>
      <c r="L74" s="42"/>
      <c r="M74" s="42"/>
      <c r="N74" s="42"/>
      <c r="P74" s="158"/>
    </row>
    <row r="75" spans="1:16" s="6" customFormat="1">
      <c r="A75" s="25"/>
      <c r="B75" s="25"/>
      <c r="C75" s="26"/>
      <c r="D75" s="26"/>
      <c r="L75" s="42"/>
      <c r="M75" s="42"/>
      <c r="N75" s="42"/>
      <c r="P75" s="158"/>
    </row>
    <row r="76" spans="1:16" s="6" customFormat="1">
      <c r="A76" s="25"/>
      <c r="B76" s="25"/>
      <c r="C76" s="26"/>
      <c r="D76" s="26"/>
      <c r="L76" s="42"/>
      <c r="M76" s="42"/>
      <c r="N76" s="42"/>
      <c r="P76" s="158"/>
    </row>
    <row r="77" spans="1:16" s="6" customFormat="1">
      <c r="A77" s="25"/>
      <c r="B77" s="25"/>
      <c r="C77" s="26"/>
      <c r="D77" s="26"/>
      <c r="L77" s="42"/>
      <c r="M77" s="42"/>
      <c r="N77" s="42"/>
      <c r="P77" s="158"/>
    </row>
    <row r="78" spans="1:16" s="6" customFormat="1">
      <c r="A78" s="25"/>
      <c r="B78" s="25"/>
      <c r="C78" s="26"/>
      <c r="D78" s="26"/>
      <c r="L78" s="42"/>
      <c r="M78" s="42"/>
      <c r="N78" s="42"/>
      <c r="P78" s="158"/>
    </row>
    <row r="79" spans="1:16" s="6" customFormat="1">
      <c r="A79" s="25"/>
      <c r="B79" s="25"/>
      <c r="C79" s="26"/>
      <c r="D79" s="26"/>
      <c r="L79" s="42"/>
      <c r="M79" s="42"/>
      <c r="N79" s="42"/>
      <c r="P79" s="158"/>
    </row>
    <row r="80" spans="1:16" s="6" customFormat="1">
      <c r="A80" s="25"/>
      <c r="B80" s="25"/>
      <c r="C80" s="26"/>
      <c r="D80" s="26"/>
      <c r="L80" s="42"/>
      <c r="M80" s="42"/>
      <c r="N80" s="42"/>
      <c r="P80" s="158"/>
    </row>
    <row r="81" spans="1:16" s="6" customFormat="1">
      <c r="A81" s="25"/>
      <c r="B81" s="25"/>
      <c r="C81" s="26"/>
      <c r="D81" s="26"/>
      <c r="L81" s="42"/>
      <c r="M81" s="42"/>
      <c r="N81" s="42"/>
      <c r="P81" s="158"/>
    </row>
    <row r="82" spans="1:16" s="6" customFormat="1">
      <c r="A82" s="25"/>
      <c r="B82" s="25"/>
      <c r="C82" s="26"/>
      <c r="D82" s="26"/>
      <c r="L82" s="42"/>
      <c r="M82" s="42"/>
      <c r="N82" s="42"/>
      <c r="P82" s="158"/>
    </row>
    <row r="83" spans="1:16" s="6" customFormat="1">
      <c r="A83" s="25"/>
      <c r="B83" s="25"/>
      <c r="C83" s="26"/>
      <c r="D83" s="26"/>
      <c r="L83" s="42"/>
      <c r="M83" s="42"/>
      <c r="N83" s="42"/>
      <c r="P83" s="158"/>
    </row>
    <row r="84" spans="1:16" s="6" customFormat="1">
      <c r="A84" s="25"/>
      <c r="B84" s="25"/>
      <c r="C84" s="26"/>
      <c r="D84" s="26"/>
      <c r="L84" s="42"/>
      <c r="M84" s="42"/>
      <c r="N84" s="42"/>
      <c r="P84" s="158"/>
    </row>
    <row r="85" spans="1:16" s="6" customFormat="1">
      <c r="A85" s="25"/>
      <c r="B85" s="25"/>
      <c r="C85" s="26"/>
      <c r="D85" s="26"/>
      <c r="L85" s="42"/>
      <c r="M85" s="42"/>
      <c r="N85" s="42"/>
      <c r="P85" s="158"/>
    </row>
    <row r="86" spans="1:16" s="6" customFormat="1">
      <c r="A86" s="25"/>
      <c r="B86" s="25"/>
      <c r="C86" s="26"/>
      <c r="D86" s="26"/>
      <c r="L86" s="42"/>
      <c r="M86" s="42"/>
      <c r="N86" s="42"/>
      <c r="P86" s="158"/>
    </row>
    <row r="87" spans="1:16" s="6" customFormat="1">
      <c r="A87" s="25"/>
      <c r="B87" s="25"/>
      <c r="C87" s="26"/>
      <c r="D87" s="26"/>
      <c r="L87" s="42"/>
      <c r="M87" s="42"/>
      <c r="N87" s="42"/>
      <c r="P87" s="158"/>
    </row>
    <row r="88" spans="1:16" s="6" customFormat="1">
      <c r="A88" s="25"/>
      <c r="B88" s="25"/>
      <c r="C88" s="26"/>
      <c r="D88" s="26"/>
      <c r="L88" s="42"/>
      <c r="M88" s="42"/>
      <c r="N88" s="42"/>
      <c r="P88" s="158"/>
    </row>
    <row r="89" spans="1:16" s="6" customFormat="1">
      <c r="A89" s="25"/>
      <c r="B89" s="25"/>
      <c r="C89" s="26"/>
      <c r="D89" s="26"/>
      <c r="L89" s="42"/>
      <c r="M89" s="42"/>
      <c r="N89" s="42"/>
      <c r="P89" s="158"/>
    </row>
    <row r="90" spans="1:16" s="6" customFormat="1">
      <c r="A90" s="25"/>
      <c r="B90" s="25"/>
      <c r="C90" s="26"/>
      <c r="D90" s="26"/>
      <c r="L90" s="42"/>
      <c r="M90" s="42"/>
      <c r="N90" s="42"/>
      <c r="P90" s="158"/>
    </row>
    <row r="91" spans="1:16" s="6" customFormat="1">
      <c r="A91" s="25"/>
      <c r="B91" s="25"/>
      <c r="C91" s="26"/>
      <c r="D91" s="26"/>
      <c r="L91" s="42"/>
      <c r="M91" s="42"/>
      <c r="N91" s="42"/>
      <c r="P91" s="158"/>
    </row>
    <row r="92" spans="1:16" s="6" customFormat="1">
      <c r="A92" s="25"/>
      <c r="B92" s="25"/>
      <c r="C92" s="26"/>
      <c r="D92" s="26"/>
      <c r="L92" s="42"/>
      <c r="M92" s="42"/>
      <c r="N92" s="42"/>
      <c r="P92" s="158"/>
    </row>
    <row r="93" spans="1:16" s="6" customFormat="1">
      <c r="A93" s="25"/>
      <c r="B93" s="25"/>
      <c r="C93" s="26"/>
      <c r="D93" s="26"/>
      <c r="L93" s="42"/>
      <c r="M93" s="42"/>
      <c r="N93" s="42"/>
      <c r="P93" s="158"/>
    </row>
    <row r="94" spans="1:16" s="6" customFormat="1">
      <c r="A94" s="25"/>
      <c r="B94" s="25"/>
      <c r="C94" s="26"/>
      <c r="D94" s="26"/>
      <c r="L94" s="42"/>
      <c r="M94" s="42"/>
      <c r="N94" s="42"/>
      <c r="P94" s="158"/>
    </row>
    <row r="95" spans="1:16" s="6" customFormat="1">
      <c r="A95" s="25"/>
      <c r="B95" s="25"/>
      <c r="C95" s="26"/>
      <c r="D95" s="26"/>
      <c r="L95" s="42"/>
      <c r="M95" s="42"/>
      <c r="N95" s="42"/>
      <c r="P95" s="158"/>
    </row>
    <row r="96" spans="1:16" s="6" customFormat="1">
      <c r="A96" s="25"/>
      <c r="B96" s="25"/>
      <c r="C96" s="26"/>
      <c r="D96" s="26"/>
      <c r="L96" s="42"/>
      <c r="M96" s="42"/>
      <c r="N96" s="42"/>
      <c r="P96" s="158"/>
    </row>
    <row r="97" spans="1:16" s="6" customFormat="1">
      <c r="A97" s="25"/>
      <c r="B97" s="25"/>
      <c r="C97" s="26"/>
      <c r="D97" s="26"/>
      <c r="L97" s="42"/>
      <c r="M97" s="42"/>
      <c r="N97" s="42"/>
      <c r="P97" s="158"/>
    </row>
    <row r="98" spans="1:16" s="6" customFormat="1">
      <c r="A98" s="25"/>
      <c r="B98" s="25"/>
      <c r="C98" s="26"/>
      <c r="D98" s="26"/>
      <c r="L98" s="42"/>
      <c r="M98" s="42"/>
      <c r="N98" s="42"/>
      <c r="P98" s="158"/>
    </row>
    <row r="99" spans="1:16" s="6" customFormat="1">
      <c r="A99" s="25"/>
      <c r="B99" s="25"/>
      <c r="C99" s="26"/>
      <c r="D99" s="26"/>
      <c r="L99" s="42"/>
      <c r="M99" s="42"/>
      <c r="N99" s="42"/>
      <c r="P99" s="158"/>
    </row>
    <row r="100" spans="1:16" s="6" customFormat="1">
      <c r="A100" s="25"/>
      <c r="B100" s="25"/>
      <c r="C100" s="26"/>
      <c r="D100" s="26"/>
      <c r="L100" s="42"/>
      <c r="M100" s="42"/>
      <c r="N100" s="42"/>
      <c r="P100" s="158"/>
    </row>
    <row r="101" spans="1:16" s="6" customFormat="1">
      <c r="A101" s="25"/>
      <c r="B101" s="25"/>
      <c r="C101" s="26"/>
      <c r="D101" s="26"/>
      <c r="L101" s="42"/>
      <c r="M101" s="42"/>
      <c r="N101" s="42"/>
      <c r="P101" s="158"/>
    </row>
    <row r="102" spans="1:16" s="6" customFormat="1">
      <c r="A102" s="25"/>
      <c r="B102" s="25"/>
      <c r="C102" s="26"/>
      <c r="D102" s="26"/>
      <c r="L102" s="42"/>
      <c r="M102" s="42"/>
      <c r="N102" s="42"/>
      <c r="P102" s="158"/>
    </row>
    <row r="103" spans="1:16" s="6" customFormat="1">
      <c r="A103" s="25"/>
      <c r="B103" s="25"/>
      <c r="C103" s="26"/>
      <c r="D103" s="26"/>
      <c r="L103" s="42"/>
      <c r="M103" s="42"/>
      <c r="N103" s="42"/>
      <c r="P103" s="158"/>
    </row>
    <row r="104" spans="1:16" s="6" customFormat="1">
      <c r="A104" s="25"/>
      <c r="B104" s="25"/>
      <c r="C104" s="26"/>
      <c r="D104" s="26"/>
      <c r="L104" s="42"/>
      <c r="M104" s="42"/>
      <c r="N104" s="42"/>
      <c r="P104" s="158"/>
    </row>
    <row r="105" spans="1:16" s="6" customFormat="1">
      <c r="A105" s="25"/>
      <c r="B105" s="25"/>
      <c r="C105" s="26"/>
      <c r="D105" s="26"/>
      <c r="L105" s="42"/>
      <c r="M105" s="42"/>
      <c r="N105" s="42"/>
      <c r="P105" s="158"/>
    </row>
    <row r="106" spans="1:16" s="6" customFormat="1">
      <c r="A106" s="25"/>
      <c r="B106" s="25"/>
      <c r="C106" s="26"/>
      <c r="D106" s="26"/>
      <c r="L106" s="42"/>
      <c r="M106" s="42"/>
      <c r="N106" s="42"/>
      <c r="P106" s="158"/>
    </row>
    <row r="107" spans="1:16" s="6" customFormat="1">
      <c r="A107" s="25"/>
      <c r="B107" s="25"/>
      <c r="C107" s="26"/>
      <c r="D107" s="26"/>
      <c r="L107" s="42"/>
      <c r="M107" s="42"/>
      <c r="N107" s="42"/>
      <c r="P107" s="158"/>
    </row>
    <row r="108" spans="1:16" s="6" customFormat="1">
      <c r="A108" s="25"/>
      <c r="B108" s="25"/>
      <c r="C108" s="26"/>
      <c r="D108" s="26"/>
      <c r="L108" s="42"/>
      <c r="M108" s="42"/>
      <c r="N108" s="42"/>
      <c r="P108" s="158"/>
    </row>
    <row r="109" spans="1:16" s="6" customFormat="1">
      <c r="A109" s="25"/>
      <c r="B109" s="25"/>
      <c r="C109" s="26"/>
      <c r="D109" s="26"/>
      <c r="L109" s="42"/>
      <c r="M109" s="42"/>
      <c r="N109" s="42"/>
      <c r="P109" s="158"/>
    </row>
    <row r="110" spans="1:16" s="6" customFormat="1">
      <c r="A110" s="25"/>
      <c r="B110" s="25"/>
      <c r="C110" s="26"/>
      <c r="D110" s="26"/>
      <c r="L110" s="42"/>
      <c r="M110" s="42"/>
      <c r="N110" s="42"/>
      <c r="P110" s="158"/>
    </row>
    <row r="111" spans="1:16" s="6" customFormat="1">
      <c r="A111" s="25"/>
      <c r="B111" s="25"/>
      <c r="C111" s="26"/>
      <c r="D111" s="26"/>
      <c r="L111" s="42"/>
      <c r="M111" s="42"/>
      <c r="N111" s="42"/>
      <c r="P111" s="158"/>
    </row>
    <row r="112" spans="1:16" s="6" customFormat="1">
      <c r="A112" s="25"/>
      <c r="B112" s="25"/>
      <c r="C112" s="26"/>
      <c r="D112" s="26"/>
      <c r="L112" s="42"/>
      <c r="M112" s="42"/>
      <c r="N112" s="42"/>
      <c r="P112" s="158"/>
    </row>
    <row r="113" spans="1:16" s="6" customFormat="1">
      <c r="A113" s="25"/>
      <c r="B113" s="25"/>
      <c r="C113" s="26"/>
      <c r="D113" s="26"/>
      <c r="L113" s="42"/>
      <c r="M113" s="42"/>
      <c r="N113" s="42"/>
      <c r="P113" s="158"/>
    </row>
    <row r="114" spans="1:16" s="6" customFormat="1">
      <c r="A114" s="25"/>
      <c r="B114" s="25"/>
      <c r="C114" s="26"/>
      <c r="D114" s="26"/>
      <c r="L114" s="42"/>
      <c r="M114" s="42"/>
      <c r="N114" s="42"/>
      <c r="P114" s="158"/>
    </row>
    <row r="115" spans="1:16" s="6" customFormat="1">
      <c r="A115" s="25"/>
      <c r="B115" s="25"/>
      <c r="C115" s="26"/>
      <c r="D115" s="26"/>
      <c r="L115" s="42"/>
      <c r="M115" s="42"/>
      <c r="N115" s="42"/>
      <c r="P115" s="158"/>
    </row>
    <row r="116" spans="1:16" s="6" customFormat="1">
      <c r="A116" s="25"/>
      <c r="B116" s="25"/>
      <c r="C116" s="26"/>
      <c r="D116" s="26"/>
      <c r="L116" s="42"/>
      <c r="M116" s="42"/>
      <c r="N116" s="42"/>
      <c r="P116" s="158"/>
    </row>
    <row r="117" spans="1:16" s="6" customFormat="1">
      <c r="A117" s="25"/>
      <c r="B117" s="25"/>
      <c r="C117" s="26"/>
      <c r="D117" s="26"/>
      <c r="L117" s="42"/>
      <c r="M117" s="42"/>
      <c r="N117" s="42"/>
      <c r="P117" s="158"/>
    </row>
    <row r="118" spans="1:16" s="6" customFormat="1">
      <c r="A118" s="25"/>
      <c r="B118" s="25"/>
      <c r="C118" s="26"/>
      <c r="D118" s="26"/>
      <c r="L118" s="42"/>
      <c r="M118" s="42"/>
      <c r="N118" s="42"/>
      <c r="P118" s="158"/>
    </row>
    <row r="119" spans="1:16" s="6" customFormat="1">
      <c r="A119" s="25"/>
      <c r="B119" s="25"/>
      <c r="C119" s="26"/>
      <c r="D119" s="26"/>
      <c r="L119" s="42"/>
      <c r="M119" s="42"/>
      <c r="N119" s="42"/>
      <c r="P119" s="158"/>
    </row>
    <row r="120" spans="1:16" s="6" customFormat="1">
      <c r="A120" s="25"/>
      <c r="B120" s="25"/>
      <c r="C120" s="26"/>
      <c r="D120" s="26"/>
      <c r="L120" s="42"/>
      <c r="M120" s="42"/>
      <c r="N120" s="42"/>
      <c r="P120" s="158"/>
    </row>
    <row r="121" spans="1:16" s="6" customFormat="1">
      <c r="A121" s="25"/>
      <c r="B121" s="25"/>
      <c r="C121" s="26"/>
      <c r="D121" s="26"/>
      <c r="L121" s="42"/>
      <c r="M121" s="42"/>
      <c r="N121" s="42"/>
      <c r="P121" s="158"/>
    </row>
    <row r="122" spans="1:16" s="6" customFormat="1">
      <c r="A122" s="25"/>
      <c r="B122" s="25"/>
      <c r="C122" s="26"/>
      <c r="D122" s="26"/>
      <c r="L122" s="42"/>
      <c r="M122" s="42"/>
      <c r="N122" s="42"/>
      <c r="P122" s="158"/>
    </row>
    <row r="123" spans="1:16" s="6" customFormat="1">
      <c r="A123" s="25"/>
      <c r="B123" s="25"/>
      <c r="C123" s="26"/>
      <c r="D123" s="26"/>
      <c r="L123" s="42"/>
      <c r="M123" s="42"/>
      <c r="N123" s="42"/>
      <c r="P123" s="158"/>
    </row>
    <row r="124" spans="1:16" s="6" customFormat="1">
      <c r="A124" s="25"/>
      <c r="B124" s="25"/>
      <c r="C124" s="26"/>
      <c r="D124" s="26"/>
      <c r="L124" s="42"/>
      <c r="M124" s="42"/>
      <c r="N124" s="42"/>
      <c r="P124" s="158"/>
    </row>
    <row r="125" spans="1:16" s="6" customFormat="1">
      <c r="A125" s="25"/>
      <c r="B125" s="25"/>
      <c r="C125" s="26"/>
      <c r="D125" s="26"/>
      <c r="L125" s="42"/>
      <c r="M125" s="42"/>
      <c r="N125" s="42"/>
      <c r="P125" s="158"/>
    </row>
    <row r="126" spans="1:16" s="6" customFormat="1">
      <c r="A126" s="25"/>
      <c r="B126" s="25"/>
      <c r="C126" s="26"/>
      <c r="D126" s="26"/>
      <c r="L126" s="42"/>
      <c r="M126" s="42"/>
      <c r="N126" s="42"/>
      <c r="P126" s="158"/>
    </row>
    <row r="127" spans="1:16" s="6" customFormat="1">
      <c r="A127" s="25"/>
      <c r="B127" s="25"/>
      <c r="C127" s="26"/>
      <c r="D127" s="26"/>
      <c r="L127" s="42"/>
      <c r="M127" s="42"/>
      <c r="N127" s="42"/>
      <c r="P127" s="158"/>
    </row>
    <row r="128" spans="1:16" s="6" customFormat="1">
      <c r="A128" s="25"/>
      <c r="B128" s="25"/>
      <c r="C128" s="26"/>
      <c r="D128" s="26"/>
      <c r="L128" s="42"/>
      <c r="M128" s="42"/>
      <c r="N128" s="42"/>
      <c r="P128" s="158"/>
    </row>
    <row r="129" spans="1:16" s="6" customFormat="1">
      <c r="A129" s="25"/>
      <c r="B129" s="25"/>
      <c r="C129" s="26"/>
      <c r="D129" s="26"/>
      <c r="L129" s="42"/>
      <c r="M129" s="42"/>
      <c r="N129" s="42"/>
      <c r="P129" s="158"/>
    </row>
    <row r="130" spans="1:16" s="6" customFormat="1">
      <c r="A130" s="25"/>
      <c r="B130" s="25"/>
      <c r="C130" s="26"/>
      <c r="D130" s="26"/>
      <c r="L130" s="42"/>
      <c r="M130" s="42"/>
      <c r="N130" s="42"/>
      <c r="P130" s="158"/>
    </row>
    <row r="131" spans="1:16" s="6" customFormat="1">
      <c r="A131" s="25"/>
      <c r="B131" s="25"/>
      <c r="C131" s="26"/>
      <c r="D131" s="26"/>
      <c r="L131" s="42"/>
      <c r="M131" s="42"/>
      <c r="N131" s="42"/>
      <c r="P131" s="158"/>
    </row>
    <row r="132" spans="1:16" s="6" customFormat="1">
      <c r="A132" s="25"/>
      <c r="B132" s="25"/>
      <c r="C132" s="26"/>
      <c r="D132" s="26"/>
      <c r="L132" s="42"/>
      <c r="M132" s="42"/>
      <c r="N132" s="42"/>
      <c r="P132" s="158"/>
    </row>
    <row r="133" spans="1:16" s="6" customFormat="1">
      <c r="A133" s="25"/>
      <c r="B133" s="25"/>
      <c r="C133" s="26"/>
      <c r="D133" s="26"/>
      <c r="L133" s="42"/>
      <c r="M133" s="42"/>
      <c r="N133" s="42"/>
      <c r="P133" s="158"/>
    </row>
    <row r="134" spans="1:16" s="6" customFormat="1">
      <c r="A134" s="25"/>
      <c r="B134" s="25"/>
      <c r="C134" s="26"/>
      <c r="D134" s="26"/>
      <c r="L134" s="42"/>
      <c r="M134" s="42"/>
      <c r="N134" s="42"/>
      <c r="P134" s="158"/>
    </row>
    <row r="135" spans="1:16" s="6" customFormat="1">
      <c r="A135" s="25"/>
      <c r="B135" s="25"/>
      <c r="C135" s="26"/>
      <c r="D135" s="26"/>
      <c r="L135" s="42"/>
      <c r="M135" s="42"/>
      <c r="N135" s="42"/>
      <c r="P135" s="158"/>
    </row>
    <row r="136" spans="1:16" s="6" customFormat="1">
      <c r="A136" s="25"/>
      <c r="B136" s="25"/>
      <c r="C136" s="26"/>
      <c r="D136" s="26"/>
      <c r="L136" s="42"/>
      <c r="M136" s="42"/>
      <c r="N136" s="42"/>
      <c r="P136" s="158"/>
    </row>
    <row r="137" spans="1:16" s="6" customFormat="1">
      <c r="A137" s="25"/>
      <c r="B137" s="25"/>
      <c r="C137" s="26"/>
      <c r="D137" s="26"/>
      <c r="L137" s="42"/>
      <c r="M137" s="42"/>
      <c r="N137" s="42"/>
      <c r="P137" s="158"/>
    </row>
    <row r="138" spans="1:16" s="6" customFormat="1">
      <c r="A138" s="25"/>
      <c r="B138" s="25"/>
      <c r="C138" s="26"/>
      <c r="D138" s="26"/>
      <c r="L138" s="42"/>
      <c r="M138" s="42"/>
      <c r="N138" s="42"/>
      <c r="P138" s="158"/>
    </row>
    <row r="139" spans="1:16" s="6" customFormat="1">
      <c r="A139" s="25"/>
      <c r="B139" s="25"/>
      <c r="C139" s="26"/>
      <c r="D139" s="26"/>
      <c r="L139" s="42"/>
      <c r="M139" s="42"/>
      <c r="N139" s="42"/>
      <c r="P139" s="158"/>
    </row>
    <row r="140" spans="1:16" s="6" customFormat="1">
      <c r="A140" s="25"/>
      <c r="B140" s="25"/>
      <c r="C140" s="26"/>
      <c r="D140" s="26"/>
      <c r="L140" s="42"/>
      <c r="M140" s="42"/>
      <c r="N140" s="42"/>
      <c r="P140" s="158"/>
    </row>
    <row r="141" spans="1:16" s="6" customFormat="1">
      <c r="A141" s="25"/>
      <c r="B141" s="25"/>
      <c r="C141" s="26"/>
      <c r="D141" s="26"/>
      <c r="L141" s="42"/>
      <c r="M141" s="42"/>
      <c r="N141" s="42"/>
      <c r="P141" s="158"/>
    </row>
    <row r="142" spans="1:16" s="6" customFormat="1">
      <c r="A142" s="25"/>
      <c r="B142" s="25"/>
      <c r="C142" s="26"/>
      <c r="D142" s="26"/>
      <c r="L142" s="42"/>
      <c r="M142" s="42"/>
      <c r="N142" s="42"/>
      <c r="P142" s="158"/>
    </row>
    <row r="143" spans="1:16" s="6" customFormat="1">
      <c r="A143" s="25"/>
      <c r="B143" s="25"/>
      <c r="C143" s="26"/>
      <c r="D143" s="26"/>
      <c r="L143" s="42"/>
      <c r="M143" s="42"/>
      <c r="N143" s="42"/>
      <c r="P143" s="158"/>
    </row>
    <row r="144" spans="1:16" s="6" customFormat="1">
      <c r="A144" s="25"/>
      <c r="B144" s="25"/>
      <c r="C144" s="27"/>
      <c r="D144" s="26"/>
      <c r="L144" s="42"/>
      <c r="M144" s="42"/>
      <c r="N144" s="42"/>
      <c r="P144" s="158"/>
    </row>
    <row r="145" spans="1:16" s="6" customFormat="1">
      <c r="A145" s="25"/>
      <c r="B145" s="25"/>
      <c r="C145" s="27"/>
      <c r="D145" s="26"/>
      <c r="L145" s="42"/>
      <c r="M145" s="42"/>
      <c r="N145" s="42"/>
      <c r="P145" s="158"/>
    </row>
    <row r="146" spans="1:16" s="6" customFormat="1">
      <c r="A146" s="25"/>
      <c r="B146" s="25"/>
      <c r="C146" s="27"/>
      <c r="D146" s="26"/>
      <c r="L146" s="42"/>
      <c r="M146" s="42"/>
      <c r="N146" s="42"/>
      <c r="P146" s="158"/>
    </row>
    <row r="147" spans="1:16" s="6" customFormat="1">
      <c r="A147" s="25"/>
      <c r="B147" s="25"/>
      <c r="C147" s="27"/>
      <c r="D147" s="26"/>
      <c r="L147" s="42"/>
      <c r="M147" s="42"/>
      <c r="N147" s="42"/>
      <c r="P147" s="158"/>
    </row>
    <row r="148" spans="1:16" s="6" customFormat="1">
      <c r="A148" s="25"/>
      <c r="B148" s="25"/>
      <c r="C148" s="27"/>
      <c r="D148" s="26"/>
      <c r="L148" s="42"/>
      <c r="M148" s="42"/>
      <c r="N148" s="42"/>
      <c r="P148" s="158"/>
    </row>
    <row r="149" spans="1:16" s="6" customFormat="1">
      <c r="A149" s="25"/>
      <c r="B149" s="25"/>
      <c r="C149" s="27"/>
      <c r="D149" s="26"/>
      <c r="L149" s="42"/>
      <c r="M149" s="42"/>
      <c r="N149" s="42"/>
      <c r="P149" s="158"/>
    </row>
    <row r="150" spans="1:16" s="6" customFormat="1">
      <c r="A150" s="25"/>
      <c r="B150" s="25"/>
      <c r="C150" s="27"/>
      <c r="D150" s="26"/>
      <c r="L150" s="42"/>
      <c r="M150" s="42"/>
      <c r="N150" s="42"/>
      <c r="P150" s="158"/>
    </row>
    <row r="151" spans="1:16" s="6" customFormat="1">
      <c r="A151" s="25"/>
      <c r="B151" s="25"/>
      <c r="C151" s="27"/>
      <c r="D151" s="26"/>
      <c r="L151" s="42"/>
      <c r="M151" s="42"/>
      <c r="N151" s="42"/>
      <c r="P151" s="158"/>
    </row>
    <row r="152" spans="1:16" s="6" customFormat="1">
      <c r="A152" s="25"/>
      <c r="B152" s="25"/>
      <c r="C152" s="27"/>
      <c r="D152" s="26"/>
      <c r="L152" s="42"/>
      <c r="M152" s="42"/>
      <c r="N152" s="42"/>
      <c r="P152" s="158"/>
    </row>
    <row r="153" spans="1:16" s="6" customFormat="1">
      <c r="A153" s="25"/>
      <c r="B153" s="25"/>
      <c r="C153" s="27"/>
      <c r="D153" s="26"/>
      <c r="L153" s="42"/>
      <c r="M153" s="42"/>
      <c r="N153" s="42"/>
      <c r="P153" s="158"/>
    </row>
    <row r="154" spans="1:16" s="6" customFormat="1">
      <c r="A154" s="25"/>
      <c r="B154" s="25"/>
      <c r="C154" s="27"/>
      <c r="D154" s="26"/>
      <c r="L154" s="42"/>
      <c r="M154" s="42"/>
      <c r="N154" s="42"/>
      <c r="P154" s="158"/>
    </row>
    <row r="155" spans="1:16" s="6" customFormat="1">
      <c r="A155" s="25"/>
      <c r="B155" s="25"/>
      <c r="C155" s="27"/>
      <c r="D155" s="26"/>
      <c r="L155" s="42"/>
      <c r="M155" s="42"/>
      <c r="N155" s="42"/>
      <c r="P155" s="158"/>
    </row>
    <row r="156" spans="1:16" s="6" customFormat="1">
      <c r="A156" s="4"/>
      <c r="B156" s="4"/>
      <c r="C156" s="5"/>
      <c r="D156" s="28"/>
      <c r="L156" s="42"/>
      <c r="M156" s="42"/>
      <c r="N156" s="42"/>
      <c r="P156" s="158"/>
    </row>
    <row r="157" spans="1:16" s="6" customFormat="1">
      <c r="A157" s="4"/>
      <c r="B157" s="4"/>
      <c r="C157" s="5"/>
      <c r="D157" s="28"/>
      <c r="L157" s="42"/>
      <c r="M157" s="42"/>
      <c r="N157" s="42"/>
      <c r="P157" s="158"/>
    </row>
    <row r="158" spans="1:16" s="6" customFormat="1">
      <c r="A158" s="4"/>
      <c r="B158" s="4"/>
      <c r="C158" s="5"/>
      <c r="D158" s="28"/>
      <c r="L158" s="42"/>
      <c r="M158" s="42"/>
      <c r="N158" s="42"/>
      <c r="P158" s="158"/>
    </row>
    <row r="159" spans="1:16" s="6" customFormat="1">
      <c r="A159" s="4"/>
      <c r="B159" s="4"/>
      <c r="C159" s="5"/>
      <c r="D159" s="28"/>
      <c r="L159" s="42"/>
      <c r="M159" s="42"/>
      <c r="N159" s="42"/>
      <c r="P159" s="158"/>
    </row>
    <row r="160" spans="1:16" s="6" customFormat="1">
      <c r="A160" s="4"/>
      <c r="B160" s="4"/>
      <c r="C160" s="5"/>
      <c r="D160" s="28"/>
      <c r="L160" s="42"/>
      <c r="M160" s="42"/>
      <c r="N160" s="42"/>
      <c r="P160" s="158"/>
    </row>
    <row r="161" spans="1:16" s="6" customFormat="1">
      <c r="A161" s="4"/>
      <c r="B161" s="4"/>
      <c r="C161" s="5"/>
      <c r="D161" s="28"/>
      <c r="L161" s="42"/>
      <c r="M161" s="42"/>
      <c r="N161" s="42"/>
      <c r="P161" s="158"/>
    </row>
    <row r="162" spans="1:16" s="6" customFormat="1">
      <c r="A162" s="4"/>
      <c r="B162" s="4"/>
      <c r="C162" s="5"/>
      <c r="D162" s="28"/>
      <c r="L162" s="42"/>
      <c r="M162" s="42"/>
      <c r="N162" s="42"/>
      <c r="P162" s="158"/>
    </row>
    <row r="163" spans="1:16" s="6" customFormat="1">
      <c r="A163" s="4"/>
      <c r="B163" s="4"/>
      <c r="C163" s="5"/>
      <c r="D163" s="28"/>
      <c r="L163" s="42"/>
      <c r="M163" s="42"/>
      <c r="N163" s="42"/>
      <c r="P163" s="158"/>
    </row>
    <row r="164" spans="1:16" s="6" customFormat="1">
      <c r="A164" s="4"/>
      <c r="B164" s="4"/>
      <c r="C164" s="5"/>
      <c r="D164" s="28"/>
      <c r="L164" s="42"/>
      <c r="M164" s="42"/>
      <c r="N164" s="42"/>
      <c r="P164" s="158"/>
    </row>
    <row r="165" spans="1:16" s="6" customFormat="1">
      <c r="A165" s="4"/>
      <c r="B165" s="4"/>
      <c r="C165" s="5"/>
      <c r="D165" s="28"/>
      <c r="L165" s="42"/>
      <c r="M165" s="42"/>
      <c r="N165" s="42"/>
      <c r="P165" s="158"/>
    </row>
    <row r="166" spans="1:16" s="6" customFormat="1">
      <c r="A166" s="4"/>
      <c r="B166" s="4"/>
      <c r="C166" s="5"/>
      <c r="D166" s="28"/>
      <c r="L166" s="42"/>
      <c r="M166" s="42"/>
      <c r="N166" s="42"/>
      <c r="P166" s="158"/>
    </row>
    <row r="167" spans="1:16" s="6" customFormat="1">
      <c r="A167" s="4"/>
      <c r="B167" s="4"/>
      <c r="C167" s="5"/>
      <c r="D167" s="28"/>
      <c r="L167" s="42"/>
      <c r="M167" s="42"/>
      <c r="N167" s="42"/>
      <c r="P167" s="158"/>
    </row>
    <row r="168" spans="1:16" s="6" customFormat="1">
      <c r="A168" s="4"/>
      <c r="B168" s="4"/>
      <c r="C168" s="5"/>
      <c r="D168" s="28"/>
      <c r="L168" s="42"/>
      <c r="M168" s="42"/>
      <c r="N168" s="42"/>
      <c r="P168" s="158"/>
    </row>
    <row r="169" spans="1:16" s="6" customFormat="1">
      <c r="A169" s="4"/>
      <c r="B169" s="4"/>
      <c r="C169" s="5"/>
      <c r="D169" s="28"/>
      <c r="L169" s="42"/>
      <c r="M169" s="42"/>
      <c r="N169" s="42"/>
      <c r="P169" s="158"/>
    </row>
    <row r="170" spans="1:16" s="6" customFormat="1">
      <c r="A170" s="4"/>
      <c r="B170" s="4"/>
      <c r="C170" s="5"/>
      <c r="D170" s="28"/>
      <c r="L170" s="42"/>
      <c r="M170" s="42"/>
      <c r="N170" s="42"/>
      <c r="P170" s="158"/>
    </row>
    <row r="171" spans="1:16" s="6" customFormat="1">
      <c r="A171" s="4"/>
      <c r="B171" s="4"/>
      <c r="C171" s="5"/>
      <c r="D171" s="28"/>
      <c r="L171" s="42"/>
      <c r="M171" s="42"/>
      <c r="N171" s="42"/>
      <c r="P171" s="158"/>
    </row>
    <row r="172" spans="1:16" s="6" customFormat="1">
      <c r="A172" s="4"/>
      <c r="B172" s="4"/>
      <c r="C172" s="5"/>
      <c r="D172" s="28"/>
      <c r="L172" s="42"/>
      <c r="M172" s="42"/>
      <c r="N172" s="42"/>
      <c r="P172" s="158"/>
    </row>
    <row r="173" spans="1:16" s="6" customFormat="1">
      <c r="A173" s="4"/>
      <c r="B173" s="4"/>
      <c r="C173" s="5"/>
      <c r="D173" s="28"/>
      <c r="L173" s="42"/>
      <c r="M173" s="42"/>
      <c r="N173" s="42"/>
      <c r="P173" s="158"/>
    </row>
    <row r="174" spans="1:16" s="6" customFormat="1">
      <c r="A174" s="4"/>
      <c r="B174" s="4"/>
      <c r="C174" s="5"/>
      <c r="D174" s="28"/>
      <c r="L174" s="42"/>
      <c r="M174" s="42"/>
      <c r="N174" s="42"/>
      <c r="P174" s="158"/>
    </row>
    <row r="175" spans="1:16" s="6" customFormat="1">
      <c r="A175" s="4"/>
      <c r="B175" s="4"/>
      <c r="C175" s="5"/>
      <c r="D175" s="28"/>
      <c r="L175" s="42"/>
      <c r="M175" s="42"/>
      <c r="N175" s="42"/>
      <c r="P175" s="158"/>
    </row>
    <row r="176" spans="1:16" s="6" customFormat="1">
      <c r="A176" s="4"/>
      <c r="B176" s="4"/>
      <c r="C176" s="5"/>
      <c r="D176" s="28"/>
      <c r="L176" s="42"/>
      <c r="M176" s="42"/>
      <c r="N176" s="42"/>
      <c r="P176" s="158"/>
    </row>
    <row r="177" spans="1:16" s="6" customFormat="1">
      <c r="A177" s="4"/>
      <c r="B177" s="4"/>
      <c r="C177" s="5"/>
      <c r="D177" s="28"/>
      <c r="L177" s="42"/>
      <c r="M177" s="42"/>
      <c r="N177" s="42"/>
      <c r="P177" s="158"/>
    </row>
    <row r="178" spans="1:16" s="6" customFormat="1">
      <c r="A178" s="4"/>
      <c r="B178" s="4"/>
      <c r="C178" s="5"/>
      <c r="D178" s="28"/>
      <c r="L178" s="42"/>
      <c r="M178" s="42"/>
      <c r="N178" s="42"/>
      <c r="P178" s="158"/>
    </row>
    <row r="179" spans="1:16" s="6" customFormat="1">
      <c r="A179" s="4"/>
      <c r="B179" s="4"/>
      <c r="C179" s="5"/>
      <c r="D179" s="28"/>
      <c r="L179" s="42"/>
      <c r="M179" s="42"/>
      <c r="N179" s="42"/>
      <c r="P179" s="158"/>
    </row>
    <row r="180" spans="1:16" s="6" customFormat="1">
      <c r="A180" s="4"/>
      <c r="B180" s="4"/>
      <c r="C180" s="5"/>
      <c r="D180" s="28"/>
      <c r="L180" s="42"/>
      <c r="M180" s="42"/>
      <c r="N180" s="42"/>
      <c r="P180" s="158"/>
    </row>
    <row r="181" spans="1:16" s="6" customFormat="1">
      <c r="A181" s="4"/>
      <c r="B181" s="4"/>
      <c r="C181" s="5"/>
      <c r="D181" s="28"/>
      <c r="L181" s="42"/>
      <c r="M181" s="42"/>
      <c r="N181" s="42"/>
      <c r="P181" s="158"/>
    </row>
    <row r="182" spans="1:16" s="6" customFormat="1">
      <c r="A182" s="4"/>
      <c r="B182" s="4"/>
      <c r="C182" s="5"/>
      <c r="D182" s="28"/>
      <c r="L182" s="42"/>
      <c r="M182" s="42"/>
      <c r="N182" s="42"/>
      <c r="P182" s="158"/>
    </row>
    <row r="183" spans="1:16" s="6" customFormat="1">
      <c r="A183" s="4"/>
      <c r="B183" s="4"/>
      <c r="C183" s="5"/>
      <c r="D183" s="28"/>
      <c r="L183" s="42"/>
      <c r="M183" s="42"/>
      <c r="N183" s="42"/>
      <c r="P183" s="158"/>
    </row>
    <row r="184" spans="1:16" s="6" customFormat="1">
      <c r="A184" s="4"/>
      <c r="B184" s="4"/>
      <c r="C184" s="5"/>
      <c r="D184" s="28"/>
      <c r="L184" s="42"/>
      <c r="M184" s="42"/>
      <c r="N184" s="42"/>
      <c r="P184" s="158"/>
    </row>
    <row r="185" spans="1:16" s="6" customFormat="1">
      <c r="A185" s="4"/>
      <c r="B185" s="4"/>
      <c r="C185" s="5"/>
      <c r="D185" s="28"/>
      <c r="L185" s="42"/>
      <c r="M185" s="42"/>
      <c r="N185" s="42"/>
      <c r="P185" s="158"/>
    </row>
    <row r="186" spans="1:16" s="6" customFormat="1">
      <c r="A186" s="4"/>
      <c r="B186" s="4"/>
      <c r="C186" s="5"/>
      <c r="D186" s="28"/>
      <c r="L186" s="42"/>
      <c r="M186" s="42"/>
      <c r="N186" s="42"/>
      <c r="P186" s="158"/>
    </row>
    <row r="187" spans="1:16" s="6" customFormat="1">
      <c r="A187" s="4"/>
      <c r="B187" s="4"/>
      <c r="C187" s="5"/>
      <c r="D187" s="28"/>
      <c r="L187" s="42"/>
      <c r="M187" s="42"/>
      <c r="N187" s="42"/>
      <c r="P187" s="158"/>
    </row>
    <row r="188" spans="1:16" s="6" customFormat="1">
      <c r="A188" s="4"/>
      <c r="B188" s="4"/>
      <c r="C188" s="5"/>
      <c r="D188" s="28"/>
      <c r="L188" s="42"/>
      <c r="M188" s="42"/>
      <c r="N188" s="42"/>
      <c r="P188" s="158"/>
    </row>
    <row r="189" spans="1:16" s="6" customFormat="1">
      <c r="A189" s="4"/>
      <c r="B189" s="4"/>
      <c r="C189" s="5"/>
      <c r="D189" s="28"/>
      <c r="L189" s="42"/>
      <c r="M189" s="42"/>
      <c r="N189" s="42"/>
      <c r="P189" s="158"/>
    </row>
    <row r="190" spans="1:16" s="6" customFormat="1">
      <c r="A190" s="4"/>
      <c r="B190" s="4"/>
      <c r="C190" s="5"/>
      <c r="D190" s="28"/>
      <c r="L190" s="42"/>
      <c r="M190" s="42"/>
      <c r="N190" s="42"/>
      <c r="P190" s="158"/>
    </row>
    <row r="191" spans="1:16" s="6" customFormat="1">
      <c r="A191" s="4"/>
      <c r="B191" s="4"/>
      <c r="C191" s="5"/>
      <c r="D191" s="28"/>
      <c r="L191" s="42"/>
      <c r="M191" s="42"/>
      <c r="N191" s="42"/>
      <c r="P191" s="158"/>
    </row>
    <row r="192" spans="1:16" s="6" customFormat="1">
      <c r="A192" s="4"/>
      <c r="B192" s="4"/>
      <c r="C192" s="5"/>
      <c r="D192" s="28"/>
      <c r="L192" s="42"/>
      <c r="M192" s="42"/>
      <c r="N192" s="42"/>
      <c r="P192" s="158"/>
    </row>
    <row r="193" spans="1:16" s="6" customFormat="1">
      <c r="A193" s="4"/>
      <c r="B193" s="4"/>
      <c r="C193" s="5"/>
      <c r="D193" s="28"/>
      <c r="L193" s="42"/>
      <c r="M193" s="42"/>
      <c r="N193" s="42"/>
      <c r="P193" s="158"/>
    </row>
    <row r="194" spans="1:16" s="6" customFormat="1">
      <c r="A194" s="4"/>
      <c r="B194" s="4"/>
      <c r="C194" s="5"/>
      <c r="D194" s="28"/>
      <c r="L194" s="42"/>
      <c r="M194" s="42"/>
      <c r="N194" s="42"/>
      <c r="P194" s="158"/>
    </row>
    <row r="195" spans="1:16" s="6" customFormat="1">
      <c r="A195" s="4"/>
      <c r="B195" s="4"/>
      <c r="C195" s="5"/>
      <c r="D195" s="28"/>
      <c r="L195" s="42"/>
      <c r="M195" s="42"/>
      <c r="N195" s="42"/>
      <c r="P195" s="158"/>
    </row>
    <row r="196" spans="1:16" s="6" customFormat="1">
      <c r="A196" s="4"/>
      <c r="B196" s="4"/>
      <c r="C196" s="5"/>
      <c r="D196" s="28"/>
      <c r="L196" s="42"/>
      <c r="M196" s="42"/>
      <c r="N196" s="42"/>
      <c r="P196" s="158"/>
    </row>
    <row r="197" spans="1:16" s="6" customFormat="1">
      <c r="A197" s="4"/>
      <c r="B197" s="4"/>
      <c r="C197" s="5"/>
      <c r="D197" s="28"/>
      <c r="L197" s="42"/>
      <c r="M197" s="42"/>
      <c r="N197" s="42"/>
      <c r="P197" s="158"/>
    </row>
    <row r="198" spans="1:16" s="6" customFormat="1">
      <c r="A198" s="4"/>
      <c r="B198" s="4"/>
      <c r="C198" s="5"/>
      <c r="D198" s="28"/>
      <c r="L198" s="42"/>
      <c r="M198" s="42"/>
      <c r="N198" s="42"/>
      <c r="P198" s="158"/>
    </row>
    <row r="199" spans="1:16" s="6" customFormat="1">
      <c r="A199" s="4"/>
      <c r="B199" s="4"/>
      <c r="C199" s="5"/>
      <c r="D199" s="28"/>
      <c r="L199" s="42"/>
      <c r="M199" s="42"/>
      <c r="N199" s="42"/>
      <c r="P199" s="158"/>
    </row>
    <row r="200" spans="1:16" s="6" customFormat="1">
      <c r="A200" s="4"/>
      <c r="B200" s="4"/>
      <c r="C200" s="5"/>
      <c r="D200" s="28"/>
      <c r="L200" s="42"/>
      <c r="M200" s="42"/>
      <c r="N200" s="42"/>
      <c r="P200" s="158"/>
    </row>
    <row r="201" spans="1:16" s="6" customFormat="1">
      <c r="A201" s="4"/>
      <c r="B201" s="4"/>
      <c r="C201" s="5"/>
      <c r="D201" s="28"/>
      <c r="L201" s="42"/>
      <c r="M201" s="42"/>
      <c r="N201" s="42"/>
      <c r="P201" s="158"/>
    </row>
    <row r="202" spans="1:16" s="6" customFormat="1">
      <c r="A202" s="4"/>
      <c r="B202" s="4"/>
      <c r="C202" s="5"/>
      <c r="D202" s="28"/>
      <c r="L202" s="42"/>
      <c r="M202" s="42"/>
      <c r="N202" s="42"/>
      <c r="P202" s="158"/>
    </row>
    <row r="203" spans="1:16" s="6" customFormat="1">
      <c r="A203" s="4"/>
      <c r="B203" s="4"/>
      <c r="C203" s="5"/>
      <c r="D203" s="28"/>
      <c r="L203" s="42"/>
      <c r="M203" s="42"/>
      <c r="N203" s="42"/>
      <c r="P203" s="158"/>
    </row>
    <row r="204" spans="1:16" s="6" customFormat="1">
      <c r="A204" s="4"/>
      <c r="B204" s="4"/>
      <c r="C204" s="5"/>
      <c r="D204" s="28"/>
      <c r="L204" s="42"/>
      <c r="M204" s="42"/>
      <c r="N204" s="42"/>
      <c r="P204" s="158"/>
    </row>
    <row r="205" spans="1:16" s="6" customFormat="1">
      <c r="A205" s="4"/>
      <c r="B205" s="4"/>
      <c r="C205" s="5"/>
      <c r="D205" s="28"/>
      <c r="L205" s="42"/>
      <c r="M205" s="42"/>
      <c r="N205" s="42"/>
      <c r="P205" s="158"/>
    </row>
    <row r="206" spans="1:16" s="6" customFormat="1">
      <c r="A206" s="4"/>
      <c r="B206" s="4"/>
      <c r="C206" s="5"/>
      <c r="D206" s="28"/>
      <c r="L206" s="42"/>
      <c r="M206" s="42"/>
      <c r="N206" s="42"/>
      <c r="P206" s="158"/>
    </row>
    <row r="207" spans="1:16" s="6" customFormat="1">
      <c r="A207" s="4"/>
      <c r="B207" s="4"/>
      <c r="C207" s="5"/>
      <c r="D207" s="28"/>
      <c r="L207" s="42"/>
      <c r="M207" s="42"/>
      <c r="N207" s="42"/>
      <c r="P207" s="158"/>
    </row>
    <row r="208" spans="1:16" s="6" customFormat="1">
      <c r="A208" s="4"/>
      <c r="B208" s="4"/>
      <c r="C208" s="5"/>
      <c r="D208" s="28"/>
      <c r="L208" s="42"/>
      <c r="M208" s="42"/>
      <c r="N208" s="42"/>
      <c r="P208" s="158"/>
    </row>
    <row r="209" spans="1:16" s="6" customFormat="1">
      <c r="A209" s="4"/>
      <c r="B209" s="4"/>
      <c r="C209" s="5"/>
      <c r="D209" s="28"/>
      <c r="L209" s="42"/>
      <c r="M209" s="42"/>
      <c r="N209" s="42"/>
      <c r="P209" s="158"/>
    </row>
    <row r="210" spans="1:16" s="6" customFormat="1">
      <c r="A210" s="4"/>
      <c r="B210" s="4"/>
      <c r="C210" s="5"/>
      <c r="D210" s="28"/>
      <c r="L210" s="42"/>
      <c r="M210" s="42"/>
      <c r="N210" s="42"/>
      <c r="P210" s="158"/>
    </row>
    <row r="211" spans="1:16" s="6" customFormat="1">
      <c r="A211" s="4"/>
      <c r="B211" s="4"/>
      <c r="C211" s="5"/>
      <c r="D211" s="28"/>
      <c r="L211" s="42"/>
      <c r="M211" s="42"/>
      <c r="N211" s="42"/>
      <c r="P211" s="158"/>
    </row>
    <row r="212" spans="1:16" s="6" customFormat="1">
      <c r="A212" s="4"/>
      <c r="B212" s="4"/>
      <c r="C212" s="5"/>
      <c r="D212" s="28"/>
      <c r="L212" s="42"/>
      <c r="M212" s="42"/>
      <c r="N212" s="42"/>
      <c r="P212" s="158"/>
    </row>
    <row r="213" spans="1:16" s="6" customFormat="1">
      <c r="A213" s="4"/>
      <c r="B213" s="4"/>
      <c r="C213" s="5"/>
      <c r="D213" s="28"/>
      <c r="L213" s="42"/>
      <c r="M213" s="42"/>
      <c r="N213" s="42"/>
      <c r="P213" s="158"/>
    </row>
    <row r="214" spans="1:16" s="6" customFormat="1">
      <c r="A214" s="4"/>
      <c r="B214" s="4"/>
      <c r="C214" s="5"/>
      <c r="D214" s="28"/>
      <c r="L214" s="42"/>
      <c r="M214" s="42"/>
      <c r="N214" s="42"/>
      <c r="P214" s="158"/>
    </row>
    <row r="215" spans="1:16" s="6" customFormat="1">
      <c r="A215" s="4"/>
      <c r="B215" s="4"/>
      <c r="C215" s="5"/>
      <c r="D215" s="28"/>
      <c r="L215" s="42"/>
      <c r="M215" s="42"/>
      <c r="N215" s="42"/>
      <c r="P215" s="158"/>
    </row>
    <row r="216" spans="1:16" s="6" customFormat="1">
      <c r="A216" s="4"/>
      <c r="B216" s="4"/>
      <c r="C216" s="5"/>
      <c r="D216" s="28"/>
      <c r="L216" s="42"/>
      <c r="M216" s="42"/>
      <c r="N216" s="42"/>
      <c r="P216" s="158"/>
    </row>
    <row r="217" spans="1:16" s="6" customFormat="1">
      <c r="A217" s="4"/>
      <c r="B217" s="4"/>
      <c r="C217" s="5"/>
      <c r="D217" s="28"/>
      <c r="L217" s="42"/>
      <c r="M217" s="42"/>
      <c r="N217" s="42"/>
      <c r="P217" s="158"/>
    </row>
    <row r="218" spans="1:16" s="6" customFormat="1">
      <c r="A218" s="4"/>
      <c r="B218" s="4"/>
      <c r="C218" s="5"/>
      <c r="D218" s="28"/>
      <c r="L218" s="42"/>
      <c r="M218" s="42"/>
      <c r="N218" s="42"/>
      <c r="P218" s="158"/>
    </row>
    <row r="219" spans="1:16" s="6" customFormat="1">
      <c r="A219" s="4"/>
      <c r="B219" s="4"/>
      <c r="C219" s="5"/>
      <c r="D219" s="28"/>
      <c r="L219" s="42"/>
      <c r="M219" s="42"/>
      <c r="N219" s="42"/>
      <c r="P219" s="158"/>
    </row>
  </sheetData>
  <mergeCells count="29">
    <mergeCell ref="A62:K62"/>
    <mergeCell ref="A42:A50"/>
    <mergeCell ref="B42:B50"/>
    <mergeCell ref="C42:C50"/>
    <mergeCell ref="A51:A59"/>
    <mergeCell ref="B51:B59"/>
    <mergeCell ref="C51:C59"/>
    <mergeCell ref="A24:A32"/>
    <mergeCell ref="B24:B32"/>
    <mergeCell ref="C24:C32"/>
    <mergeCell ref="A33:A41"/>
    <mergeCell ref="B33:B41"/>
    <mergeCell ref="C33:C41"/>
    <mergeCell ref="E13:N13"/>
    <mergeCell ref="G1:K1"/>
    <mergeCell ref="G2:K2"/>
    <mergeCell ref="A15:A23"/>
    <mergeCell ref="B15:B23"/>
    <mergeCell ref="C15:C23"/>
    <mergeCell ref="G3:K3"/>
    <mergeCell ref="G4:K4"/>
    <mergeCell ref="A6:J6"/>
    <mergeCell ref="A8:C8"/>
    <mergeCell ref="D8:E8"/>
    <mergeCell ref="A9:C9"/>
    <mergeCell ref="A10:C10"/>
    <mergeCell ref="A13:B13"/>
    <mergeCell ref="C13:C14"/>
    <mergeCell ref="D13:D14"/>
  </mergeCells>
  <printOptions horizontalCentered="1"/>
  <pageMargins left="0.15748031496062992" right="0.15748031496062992" top="0.11811023622047245" bottom="3.937007874015748E-2" header="0.27559055118110237" footer="0.15748031496062992"/>
  <pageSetup paperSize="9" scale="50" fitToHeight="3"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14</vt:i4>
      </vt:variant>
    </vt:vector>
  </HeadingPairs>
  <TitlesOfParts>
    <vt:vector size="21" baseType="lpstr">
      <vt:lpstr>целев показ</vt:lpstr>
      <vt:lpstr>осн мерп</vt:lpstr>
      <vt:lpstr>прил 3 меры (2)</vt:lpstr>
      <vt:lpstr>прил 4 гос. задание</vt:lpstr>
      <vt:lpstr>ресурсн обеспечен  (2)</vt:lpstr>
      <vt:lpstr>оценка ресурс обесп (копейки)</vt:lpstr>
      <vt:lpstr>оценка ресурс обесп</vt:lpstr>
      <vt:lpstr>'осн мерп'!Заголовки_для_печати</vt:lpstr>
      <vt:lpstr>'оценка ресурс обесп'!Заголовки_для_печати</vt:lpstr>
      <vt:lpstr>'оценка ресурс обесп (копейки)'!Заголовки_для_печати</vt:lpstr>
      <vt:lpstr>'прил 3 меры (2)'!Заголовки_для_печати</vt:lpstr>
      <vt:lpstr>'прил 4 гос. задание'!Заголовки_для_печати</vt:lpstr>
      <vt:lpstr>'ресурсн обеспечен  (2)'!Заголовки_для_печати</vt:lpstr>
      <vt:lpstr>'целев показ'!Заголовки_для_печати</vt:lpstr>
      <vt:lpstr>'осн мерп'!Область_печати</vt:lpstr>
      <vt:lpstr>'оценка ресурс обесп'!Область_печати</vt:lpstr>
      <vt:lpstr>'оценка ресурс обесп (копейки)'!Область_печати</vt:lpstr>
      <vt:lpstr>'прил 3 меры (2)'!Область_печати</vt:lpstr>
      <vt:lpstr>'прил 4 гос. задание'!Область_печати</vt:lpstr>
      <vt:lpstr>'ресурсн обеспечен  (2)'!Область_печати</vt:lpstr>
      <vt:lpstr>'целев показ'!Область_печати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2019-03-07T06:23:55Z</cp:lastPrinted>
  <dcterms:created xsi:type="dcterms:W3CDTF">2018-03-27T10:38:15Z</dcterms:created>
  <dcterms:modified xsi:type="dcterms:W3CDTF">2019-03-07T06:24:11Z</dcterms:modified>
</cp:coreProperties>
</file>